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O\Documents\dok\"/>
    </mc:Choice>
  </mc:AlternateContent>
  <xr:revisionPtr revIDLastSave="0" documentId="8_{28691C0B-AB6D-448B-BD61-C87798C50FA3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Lønnstabell 01.06.2021" sheetId="6" r:id="rId1"/>
    <sheet name="Tabell med 47% sokkelkomp." sheetId="2" r:id="rId2"/>
    <sheet name="Tab. med fast avt. sokkelkomp.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5" i="3" l="1"/>
  <c r="L35" i="3"/>
  <c r="K35" i="3"/>
  <c r="J35" i="3"/>
  <c r="I35" i="3"/>
  <c r="H35" i="3"/>
  <c r="G35" i="3"/>
  <c r="O26" i="3"/>
  <c r="N26" i="3"/>
  <c r="M26" i="3"/>
  <c r="L26" i="3"/>
  <c r="K26" i="3"/>
  <c r="J26" i="3"/>
  <c r="I26" i="3"/>
  <c r="H26" i="3"/>
  <c r="G26" i="3"/>
  <c r="F26" i="3"/>
  <c r="O15" i="3"/>
  <c r="N15" i="3"/>
  <c r="M15" i="3"/>
  <c r="L15" i="3"/>
  <c r="K15" i="3"/>
  <c r="J15" i="3"/>
  <c r="I15" i="3"/>
  <c r="H15" i="3"/>
  <c r="G15" i="3"/>
  <c r="F15" i="3"/>
  <c r="O6" i="3"/>
  <c r="N6" i="3"/>
  <c r="M6" i="3"/>
  <c r="L6" i="3"/>
  <c r="K6" i="3"/>
  <c r="J6" i="3"/>
  <c r="I6" i="3"/>
  <c r="H6" i="3"/>
  <c r="G6" i="3"/>
  <c r="H15" i="2"/>
  <c r="G15" i="2"/>
  <c r="N29" i="6"/>
  <c r="M29" i="6"/>
  <c r="L29" i="6"/>
  <c r="K29" i="6"/>
  <c r="J29" i="6"/>
  <c r="I29" i="6"/>
  <c r="H29" i="6"/>
  <c r="P21" i="6"/>
  <c r="O21" i="6"/>
  <c r="N21" i="6"/>
  <c r="M21" i="6"/>
  <c r="L21" i="6"/>
  <c r="K21" i="6"/>
  <c r="J21" i="6"/>
  <c r="I21" i="6"/>
  <c r="H21" i="6"/>
  <c r="G21" i="6"/>
  <c r="P12" i="6"/>
  <c r="O12" i="6"/>
  <c r="N12" i="6"/>
  <c r="M12" i="6"/>
  <c r="L12" i="6"/>
  <c r="K12" i="6"/>
  <c r="J12" i="6"/>
  <c r="I12" i="6"/>
  <c r="H12" i="6"/>
  <c r="G12" i="6"/>
  <c r="P4" i="6"/>
  <c r="O4" i="6"/>
  <c r="N4" i="6"/>
  <c r="M4" i="6"/>
  <c r="L4" i="6"/>
  <c r="K4" i="6"/>
  <c r="J4" i="6"/>
  <c r="I4" i="6"/>
  <c r="H4" i="6"/>
  <c r="O11" i="3" l="1"/>
  <c r="O10" i="3"/>
  <c r="O8" i="3"/>
  <c r="O9" i="3" s="1"/>
  <c r="N11" i="3"/>
  <c r="N10" i="3"/>
  <c r="N8" i="3"/>
  <c r="N9" i="3" s="1"/>
  <c r="M11" i="3"/>
  <c r="M10" i="3"/>
  <c r="M8" i="3"/>
  <c r="M9" i="3" s="1"/>
  <c r="L11" i="3"/>
  <c r="L10" i="3"/>
  <c r="L8" i="3"/>
  <c r="L9" i="3" s="1"/>
  <c r="M40" i="3"/>
  <c r="M39" i="3"/>
  <c r="M37" i="3"/>
  <c r="M38" i="3" s="1"/>
  <c r="L40" i="3"/>
  <c r="L39" i="3"/>
  <c r="L37" i="3"/>
  <c r="L38" i="3" s="1"/>
  <c r="K40" i="3"/>
  <c r="K39" i="3"/>
  <c r="K37" i="3"/>
  <c r="K38" i="3" s="1"/>
  <c r="O31" i="3"/>
  <c r="O30" i="3"/>
  <c r="O28" i="3"/>
  <c r="O32" i="3" s="1"/>
  <c r="N31" i="3"/>
  <c r="N30" i="3"/>
  <c r="N28" i="3"/>
  <c r="N29" i="3" s="1"/>
  <c r="M31" i="3"/>
  <c r="M30" i="3"/>
  <c r="M28" i="3"/>
  <c r="M32" i="3" s="1"/>
  <c r="L31" i="3"/>
  <c r="L30" i="3"/>
  <c r="L28" i="3"/>
  <c r="L29" i="3" s="1"/>
  <c r="O20" i="3"/>
  <c r="O19" i="3"/>
  <c r="O17" i="3"/>
  <c r="O18" i="3" s="1"/>
  <c r="N20" i="3"/>
  <c r="N19" i="3"/>
  <c r="N17" i="3"/>
  <c r="N18" i="3" s="1"/>
  <c r="M20" i="3"/>
  <c r="M19" i="3"/>
  <c r="M17" i="3"/>
  <c r="M18" i="3" s="1"/>
  <c r="L20" i="3"/>
  <c r="L19" i="3"/>
  <c r="L17" i="3"/>
  <c r="L18" i="3" s="1"/>
  <c r="N40" i="2"/>
  <c r="N39" i="2"/>
  <c r="N37" i="2"/>
  <c r="N38" i="2" s="1"/>
  <c r="M40" i="2"/>
  <c r="M39" i="2"/>
  <c r="M37" i="2"/>
  <c r="M38" i="2" s="1"/>
  <c r="L40" i="2"/>
  <c r="L39" i="2"/>
  <c r="L37" i="2"/>
  <c r="L38" i="2" s="1"/>
  <c r="K40" i="2"/>
  <c r="K39" i="2"/>
  <c r="K37" i="2"/>
  <c r="K38" i="2" s="1"/>
  <c r="J40" i="2"/>
  <c r="J39" i="2"/>
  <c r="J37" i="2"/>
  <c r="J38" i="2" s="1"/>
  <c r="I40" i="2"/>
  <c r="I39" i="2"/>
  <c r="I37" i="2"/>
  <c r="I38" i="2" s="1"/>
  <c r="H40" i="2"/>
  <c r="H39" i="2"/>
  <c r="H37" i="2"/>
  <c r="H38" i="2" s="1"/>
  <c r="P20" i="2"/>
  <c r="P19" i="2"/>
  <c r="P17" i="2"/>
  <c r="P18" i="2" s="1"/>
  <c r="O20" i="2"/>
  <c r="O19" i="2"/>
  <c r="O17" i="2"/>
  <c r="O18" i="2" s="1"/>
  <c r="N20" i="2"/>
  <c r="N19" i="2"/>
  <c r="N17" i="2"/>
  <c r="N18" i="2" s="1"/>
  <c r="M20" i="2"/>
  <c r="M19" i="2"/>
  <c r="M17" i="2"/>
  <c r="M18" i="2" s="1"/>
  <c r="L20" i="2"/>
  <c r="L19" i="2"/>
  <c r="L17" i="2"/>
  <c r="L18" i="2" s="1"/>
  <c r="P31" i="2"/>
  <c r="P30" i="2"/>
  <c r="P28" i="2"/>
  <c r="P29" i="2" s="1"/>
  <c r="O31" i="2"/>
  <c r="O30" i="2"/>
  <c r="O28" i="2"/>
  <c r="O32" i="2" s="1"/>
  <c r="O27" i="2"/>
  <c r="N31" i="2"/>
  <c r="N30" i="2"/>
  <c r="N28" i="2"/>
  <c r="N29" i="2" s="1"/>
  <c r="N27" i="2"/>
  <c r="M31" i="2"/>
  <c r="M30" i="2"/>
  <c r="M28" i="2"/>
  <c r="M32" i="2" s="1"/>
  <c r="L31" i="2"/>
  <c r="L30" i="2"/>
  <c r="L28" i="2"/>
  <c r="L29" i="2" s="1"/>
  <c r="H36" i="2" l="1"/>
  <c r="O16" i="2"/>
  <c r="N16" i="2"/>
  <c r="M16" i="2"/>
  <c r="L16" i="2"/>
  <c r="N36" i="2"/>
  <c r="M36" i="2"/>
  <c r="L36" i="2"/>
  <c r="K36" i="2"/>
  <c r="L27" i="2"/>
  <c r="O29" i="3"/>
  <c r="M29" i="3"/>
  <c r="O12" i="3"/>
  <c r="N12" i="3"/>
  <c r="M12" i="3"/>
  <c r="L12" i="3"/>
  <c r="M41" i="3"/>
  <c r="L41" i="3"/>
  <c r="K41" i="3"/>
  <c r="O34" i="3"/>
  <c r="O33" i="3"/>
  <c r="N32" i="3"/>
  <c r="M34" i="3"/>
  <c r="M33" i="3"/>
  <c r="L32" i="3"/>
  <c r="O21" i="3"/>
  <c r="N21" i="3"/>
  <c r="M21" i="3"/>
  <c r="L21" i="3"/>
  <c r="I36" i="2"/>
  <c r="N41" i="2"/>
  <c r="M41" i="2"/>
  <c r="L41" i="2"/>
  <c r="K41" i="2"/>
  <c r="J36" i="2"/>
  <c r="J41" i="2"/>
  <c r="I41" i="2"/>
  <c r="H41" i="2"/>
  <c r="P27" i="2"/>
  <c r="O29" i="2"/>
  <c r="M29" i="2"/>
  <c r="M27" i="2"/>
  <c r="P16" i="2"/>
  <c r="P21" i="2"/>
  <c r="O21" i="2"/>
  <c r="N21" i="2"/>
  <c r="M21" i="2"/>
  <c r="L21" i="2"/>
  <c r="P32" i="2"/>
  <c r="O34" i="2"/>
  <c r="O33" i="2"/>
  <c r="N32" i="2"/>
  <c r="M34" i="2"/>
  <c r="M33" i="2"/>
  <c r="L32" i="2"/>
  <c r="P11" i="2"/>
  <c r="O11" i="2"/>
  <c r="N11" i="2"/>
  <c r="M11" i="2"/>
  <c r="P10" i="2"/>
  <c r="O10" i="2"/>
  <c r="N10" i="2"/>
  <c r="M10" i="2"/>
  <c r="P8" i="2"/>
  <c r="P7" i="2" s="1"/>
  <c r="O8" i="2"/>
  <c r="O9" i="2" s="1"/>
  <c r="N8" i="2"/>
  <c r="N12" i="2" s="1"/>
  <c r="M8" i="2"/>
  <c r="M7" i="2" s="1"/>
  <c r="O12" i="2" l="1"/>
  <c r="O14" i="2" s="1"/>
  <c r="P12" i="2"/>
  <c r="P14" i="2" s="1"/>
  <c r="O14" i="3"/>
  <c r="O13" i="3"/>
  <c r="N14" i="3"/>
  <c r="N13" i="3"/>
  <c r="M14" i="3"/>
  <c r="M13" i="3"/>
  <c r="L14" i="3"/>
  <c r="L13" i="3"/>
  <c r="M43" i="3"/>
  <c r="M42" i="3"/>
  <c r="L43" i="3"/>
  <c r="L42" i="3"/>
  <c r="K43" i="3"/>
  <c r="K42" i="3"/>
  <c r="N34" i="3"/>
  <c r="N33" i="3"/>
  <c r="L34" i="3"/>
  <c r="L33" i="3"/>
  <c r="O23" i="3"/>
  <c r="O22" i="3"/>
  <c r="N23" i="3"/>
  <c r="N22" i="3"/>
  <c r="M23" i="3"/>
  <c r="M22" i="3"/>
  <c r="L23" i="3"/>
  <c r="L22" i="3"/>
  <c r="N43" i="2"/>
  <c r="N42" i="2"/>
  <c r="M43" i="2"/>
  <c r="M42" i="2"/>
  <c r="L43" i="2"/>
  <c r="L42" i="2"/>
  <c r="K43" i="2"/>
  <c r="K42" i="2"/>
  <c r="J43" i="2"/>
  <c r="J42" i="2"/>
  <c r="I43" i="2"/>
  <c r="I42" i="2"/>
  <c r="H43" i="2"/>
  <c r="H42" i="2"/>
  <c r="P23" i="2"/>
  <c r="P22" i="2"/>
  <c r="O23" i="2"/>
  <c r="O22" i="2"/>
  <c r="N23" i="2"/>
  <c r="N22" i="2"/>
  <c r="M23" i="2"/>
  <c r="M22" i="2"/>
  <c r="L23" i="2"/>
  <c r="L22" i="2"/>
  <c r="P34" i="2"/>
  <c r="P33" i="2"/>
  <c r="N34" i="2"/>
  <c r="N33" i="2"/>
  <c r="L34" i="2"/>
  <c r="L33" i="2"/>
  <c r="N13" i="2"/>
  <c r="N14" i="2"/>
  <c r="N7" i="2"/>
  <c r="O7" i="2"/>
  <c r="P9" i="2"/>
  <c r="M12" i="2"/>
  <c r="P13" i="2"/>
  <c r="N9" i="2"/>
  <c r="O13" i="2"/>
  <c r="M9" i="2"/>
  <c r="L11" i="2"/>
  <c r="L10" i="2"/>
  <c r="L8" i="2"/>
  <c r="L9" i="2" s="1"/>
  <c r="L12" i="2" l="1"/>
  <c r="M14" i="2"/>
  <c r="M13" i="2"/>
  <c r="L7" i="2"/>
  <c r="L14" i="2" l="1"/>
  <c r="L13" i="2"/>
  <c r="K30" i="3"/>
  <c r="K17" i="3"/>
  <c r="K30" i="2"/>
  <c r="K19" i="2"/>
  <c r="K18" i="3" l="1"/>
  <c r="K21" i="3"/>
  <c r="K20" i="2"/>
  <c r="K28" i="2"/>
  <c r="K31" i="2"/>
  <c r="K19" i="3"/>
  <c r="K31" i="3"/>
  <c r="K17" i="2"/>
  <c r="K20" i="3"/>
  <c r="K28" i="3"/>
  <c r="J37" i="3"/>
  <c r="J38" i="3" s="1"/>
  <c r="I40" i="3"/>
  <c r="H39" i="3"/>
  <c r="G40" i="3"/>
  <c r="J31" i="3"/>
  <c r="I31" i="3"/>
  <c r="H30" i="3"/>
  <c r="F31" i="3"/>
  <c r="J30" i="2"/>
  <c r="I28" i="2"/>
  <c r="H31" i="2"/>
  <c r="G28" i="2"/>
  <c r="G27" i="2" s="1"/>
  <c r="J19" i="3"/>
  <c r="H19" i="3"/>
  <c r="F19" i="3"/>
  <c r="J17" i="2"/>
  <c r="J16" i="2" s="1"/>
  <c r="I19" i="2"/>
  <c r="K10" i="3"/>
  <c r="J10" i="3"/>
  <c r="I10" i="3"/>
  <c r="H11" i="3"/>
  <c r="G10" i="3"/>
  <c r="K11" i="2"/>
  <c r="J10" i="2"/>
  <c r="H8" i="2"/>
  <c r="H7" i="2" s="1"/>
  <c r="J39" i="3"/>
  <c r="I39" i="3"/>
  <c r="F28" i="3"/>
  <c r="F29" i="3" s="1"/>
  <c r="G20" i="3"/>
  <c r="I19" i="3"/>
  <c r="I20" i="3"/>
  <c r="J11" i="3"/>
  <c r="G11" i="3"/>
  <c r="H19" i="2"/>
  <c r="K10" i="2"/>
  <c r="K18" i="2" l="1"/>
  <c r="K21" i="2"/>
  <c r="K16" i="2"/>
  <c r="K29" i="2"/>
  <c r="K32" i="2"/>
  <c r="K27" i="2"/>
  <c r="K29" i="3"/>
  <c r="K32" i="3"/>
  <c r="K22" i="3"/>
  <c r="K23" i="3"/>
  <c r="I20" i="2"/>
  <c r="K11" i="3"/>
  <c r="J40" i="3"/>
  <c r="F20" i="3"/>
  <c r="F17" i="3"/>
  <c r="F18" i="3" s="1"/>
  <c r="H10" i="3"/>
  <c r="J17" i="3"/>
  <c r="J18" i="3" s="1"/>
  <c r="I8" i="3"/>
  <c r="I9" i="3" s="1"/>
  <c r="H8" i="3"/>
  <c r="H9" i="3" s="1"/>
  <c r="J20" i="3"/>
  <c r="I30" i="3"/>
  <c r="G30" i="2"/>
  <c r="G8" i="3"/>
  <c r="G12" i="3" s="1"/>
  <c r="G14" i="3" s="1"/>
  <c r="F30" i="3"/>
  <c r="K8" i="3"/>
  <c r="J28" i="3"/>
  <c r="J29" i="3" s="1"/>
  <c r="J30" i="3"/>
  <c r="H37" i="3"/>
  <c r="H38" i="3" s="1"/>
  <c r="H28" i="3"/>
  <c r="H32" i="3" s="1"/>
  <c r="F32" i="3"/>
  <c r="F33" i="3" s="1"/>
  <c r="H30" i="2"/>
  <c r="H28" i="2"/>
  <c r="H32" i="2" s="1"/>
  <c r="J8" i="2"/>
  <c r="J9" i="2" s="1"/>
  <c r="K8" i="2"/>
  <c r="K7" i="2" s="1"/>
  <c r="H17" i="2"/>
  <c r="H18" i="2" s="1"/>
  <c r="J19" i="2"/>
  <c r="J20" i="2"/>
  <c r="I30" i="2"/>
  <c r="I31" i="2"/>
  <c r="I17" i="2"/>
  <c r="G32" i="2"/>
  <c r="G34" i="2" s="1"/>
  <c r="G30" i="3"/>
  <c r="G28" i="3"/>
  <c r="I11" i="3"/>
  <c r="G17" i="3"/>
  <c r="G19" i="3"/>
  <c r="G31" i="3"/>
  <c r="H17" i="3"/>
  <c r="H20" i="3"/>
  <c r="G39" i="3"/>
  <c r="G37" i="3"/>
  <c r="J41" i="3"/>
  <c r="H40" i="3"/>
  <c r="J8" i="3"/>
  <c r="I17" i="3"/>
  <c r="I28" i="3"/>
  <c r="I37" i="3"/>
  <c r="H31" i="3"/>
  <c r="H12" i="2"/>
  <c r="H9" i="2"/>
  <c r="I32" i="2"/>
  <c r="I29" i="2"/>
  <c r="I11" i="2"/>
  <c r="I8" i="2"/>
  <c r="I10" i="2"/>
  <c r="H11" i="2"/>
  <c r="G20" i="2"/>
  <c r="G17" i="2"/>
  <c r="G19" i="2"/>
  <c r="J31" i="2"/>
  <c r="J28" i="2"/>
  <c r="I27" i="2"/>
  <c r="G29" i="2"/>
  <c r="H10" i="2"/>
  <c r="J21" i="2"/>
  <c r="J18" i="2"/>
  <c r="J11" i="2"/>
  <c r="H20" i="2"/>
  <c r="G31" i="2"/>
  <c r="H12" i="3" l="1"/>
  <c r="H13" i="3" s="1"/>
  <c r="K34" i="3"/>
  <c r="K33" i="3"/>
  <c r="K23" i="2"/>
  <c r="K22" i="2"/>
  <c r="K34" i="2"/>
  <c r="K33" i="2"/>
  <c r="H41" i="3"/>
  <c r="H42" i="3" s="1"/>
  <c r="F34" i="3"/>
  <c r="I12" i="3"/>
  <c r="I13" i="3" s="1"/>
  <c r="G13" i="3"/>
  <c r="H33" i="2"/>
  <c r="H34" i="2"/>
  <c r="J21" i="3"/>
  <c r="J22" i="3" s="1"/>
  <c r="F21" i="3"/>
  <c r="F23" i="3" s="1"/>
  <c r="G9" i="3"/>
  <c r="H29" i="3"/>
  <c r="J32" i="3"/>
  <c r="K12" i="3"/>
  <c r="K9" i="3"/>
  <c r="H29" i="2"/>
  <c r="H27" i="2"/>
  <c r="G33" i="2"/>
  <c r="K9" i="2"/>
  <c r="K12" i="2"/>
  <c r="J7" i="2"/>
  <c r="J12" i="2"/>
  <c r="H16" i="2"/>
  <c r="H21" i="2"/>
  <c r="I18" i="2"/>
  <c r="I16" i="2"/>
  <c r="I21" i="2"/>
  <c r="I32" i="3"/>
  <c r="I29" i="3"/>
  <c r="J12" i="3"/>
  <c r="J9" i="3"/>
  <c r="H21" i="3"/>
  <c r="H18" i="3"/>
  <c r="H33" i="3"/>
  <c r="H34" i="3"/>
  <c r="J43" i="3"/>
  <c r="J42" i="3"/>
  <c r="G18" i="3"/>
  <c r="G21" i="3"/>
  <c r="G29" i="3"/>
  <c r="G32" i="3"/>
  <c r="I41" i="3"/>
  <c r="I38" i="3"/>
  <c r="I21" i="3"/>
  <c r="I18" i="3"/>
  <c r="H14" i="3"/>
  <c r="G38" i="3"/>
  <c r="G41" i="3"/>
  <c r="J22" i="2"/>
  <c r="J23" i="2"/>
  <c r="J27" i="2"/>
  <c r="J32" i="2"/>
  <c r="J29" i="2"/>
  <c r="H13" i="2"/>
  <c r="H14" i="2"/>
  <c r="G16" i="2"/>
  <c r="G21" i="2"/>
  <c r="G18" i="2"/>
  <c r="I7" i="2"/>
  <c r="I12" i="2"/>
  <c r="I9" i="2"/>
  <c r="I33" i="2"/>
  <c r="I34" i="2"/>
  <c r="H43" i="3" l="1"/>
  <c r="I14" i="3"/>
  <c r="F22" i="3"/>
  <c r="J23" i="3"/>
  <c r="J33" i="3"/>
  <c r="J34" i="3"/>
  <c r="K14" i="3"/>
  <c r="K13" i="3"/>
  <c r="I23" i="2"/>
  <c r="I22" i="2"/>
  <c r="K14" i="2"/>
  <c r="K13" i="2"/>
  <c r="H23" i="2"/>
  <c r="H22" i="2"/>
  <c r="J14" i="2"/>
  <c r="J13" i="2"/>
  <c r="I43" i="3"/>
  <c r="I42" i="3"/>
  <c r="I34" i="3"/>
  <c r="I33" i="3"/>
  <c r="G42" i="3"/>
  <c r="G43" i="3"/>
  <c r="G33" i="3"/>
  <c r="G34" i="3"/>
  <c r="I23" i="3"/>
  <c r="I22" i="3"/>
  <c r="H22" i="3"/>
  <c r="H23" i="3"/>
  <c r="J13" i="3"/>
  <c r="J14" i="3"/>
  <c r="G22" i="3"/>
  <c r="G23" i="3"/>
  <c r="I14" i="2"/>
  <c r="I13" i="2"/>
  <c r="G23" i="2"/>
  <c r="G22" i="2"/>
  <c r="J34" i="2"/>
  <c r="J33" i="2"/>
</calcChain>
</file>

<file path=xl/sharedStrings.xml><?xml version="1.0" encoding="utf-8"?>
<sst xmlns="http://schemas.openxmlformats.org/spreadsheetml/2006/main" count="266" uniqueCount="103">
  <si>
    <t>Avtale mellom Industri Energi og OLF</t>
  </si>
  <si>
    <t>Stillinger</t>
  </si>
  <si>
    <t>Satser</t>
  </si>
  <si>
    <t>Ansiennitet</t>
  </si>
  <si>
    <t>OSA</t>
  </si>
  <si>
    <t>A</t>
  </si>
  <si>
    <t>MUB Ingeniør</t>
  </si>
  <si>
    <t>Årslønn Tariff</t>
  </si>
  <si>
    <t>Retningsmåler</t>
  </si>
  <si>
    <t>Borestedsgeolog</t>
  </si>
  <si>
    <t>Feltgeolog</t>
  </si>
  <si>
    <t>Brønnspesialist</t>
  </si>
  <si>
    <t>Senior Surveyor 2</t>
  </si>
  <si>
    <t>B</t>
  </si>
  <si>
    <t>Senior Brønntekniker</t>
  </si>
  <si>
    <t>Boreveskeingeniør</t>
  </si>
  <si>
    <t>Senior Dataingeniør</t>
  </si>
  <si>
    <t>Senior Geolog</t>
  </si>
  <si>
    <t>Elektro og instrumenttekniker</t>
  </si>
  <si>
    <t xml:space="preserve"> </t>
  </si>
  <si>
    <t>Spesial hydrauliker</t>
  </si>
  <si>
    <t>Spesial kranfører</t>
  </si>
  <si>
    <t>Senior FU-operatør</t>
  </si>
  <si>
    <t>Senior Dykketekniker</t>
  </si>
  <si>
    <t>Dekksformann</t>
  </si>
  <si>
    <t>Surveyor 1</t>
  </si>
  <si>
    <t>C</t>
  </si>
  <si>
    <t>Brønntekniker</t>
  </si>
  <si>
    <t>Dataingeniør</t>
  </si>
  <si>
    <t>Geolog</t>
  </si>
  <si>
    <t>Fagarbeider/Sveiser/Kranfører</t>
  </si>
  <si>
    <t>Hydrauliker</t>
  </si>
  <si>
    <t>FU-operatør</t>
  </si>
  <si>
    <t>Dykketekniker</t>
  </si>
  <si>
    <t>Junior MUB ing</t>
  </si>
  <si>
    <t>Surveyor 2/ Junior Surveyor</t>
  </si>
  <si>
    <t>E</t>
  </si>
  <si>
    <t>Hjelpearbeider, Rigger</t>
  </si>
  <si>
    <t>Opplæringsstilling 1)</t>
  </si>
  <si>
    <t>1) Gjelder ikke fagarbeiderstilling</t>
  </si>
  <si>
    <t>Ny forståelse knyttet til lønnsmatrisen vedr. opplæringsstillinger: Med formuleringen ”gjelder ikke fagarbeidere” menes fagarbeidere som har fagbrev i stillingen vedkommende er / blir ansatt i.</t>
  </si>
  <si>
    <t>Borevæske Ingeniør 1</t>
  </si>
  <si>
    <t xml:space="preserve">Senior MUB Ingeniør </t>
  </si>
  <si>
    <t xml:space="preserve">Senior Retningsmåler </t>
  </si>
  <si>
    <t xml:space="preserve">Senior Borevæske Ingeniør </t>
  </si>
  <si>
    <t xml:space="preserve">Senior Brønnspesialist </t>
  </si>
  <si>
    <t>Senior Feltgeolog</t>
  </si>
  <si>
    <t>Senior Arbeidsleder FU</t>
  </si>
  <si>
    <t>Arbeidsleder FU</t>
  </si>
  <si>
    <t xml:space="preserve"> Med  47% Sokkelkompensasjon</t>
  </si>
  <si>
    <t>Sokkelkompensasjon</t>
  </si>
  <si>
    <t>Månedslønn Ujustert</t>
  </si>
  <si>
    <t>Månedslønn Justert</t>
  </si>
  <si>
    <t>Offshore pr. time</t>
  </si>
  <si>
    <t>Offshore overtid/time</t>
  </si>
  <si>
    <t>Onshore pr. time</t>
  </si>
  <si>
    <t>Onshore 50% overt.</t>
  </si>
  <si>
    <t>Onshore 100% overt.</t>
  </si>
  <si>
    <t>Senior Surveyor 1</t>
  </si>
  <si>
    <r>
      <t>Arbeidsleder FU</t>
    </r>
    <r>
      <rPr>
        <sz val="9"/>
        <color indexed="10"/>
        <rFont val="Arial"/>
        <family val="2"/>
      </rPr>
      <t xml:space="preserve"> </t>
    </r>
  </si>
  <si>
    <t>(Surveyor stillingene er ikke avklart mellom partene)</t>
  </si>
  <si>
    <r>
      <rPr>
        <b/>
        <sz val="9"/>
        <color indexed="8"/>
        <rFont val="Arial"/>
        <family val="2"/>
      </rPr>
      <t>Med fast avtalt offshorebonus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8"/>
        <color indexed="8"/>
        <rFont val="Arial"/>
        <family val="2"/>
      </rPr>
      <t>fyll inn, i de grønne feltene, den avtalte offshorebonusen som gjelder i ditt selskap)</t>
    </r>
  </si>
  <si>
    <r>
      <t>Borevæske Ingeniør 1</t>
    </r>
    <r>
      <rPr>
        <sz val="14"/>
        <color indexed="10"/>
        <rFont val="Arial"/>
        <family val="2"/>
      </rPr>
      <t xml:space="preserve"> </t>
    </r>
  </si>
  <si>
    <t>OSA- OSBA</t>
  </si>
  <si>
    <t>Fisker</t>
  </si>
  <si>
    <t>Retningsborer</t>
  </si>
  <si>
    <t>Junior Fisker</t>
  </si>
  <si>
    <t>Junior Retningsborer</t>
  </si>
  <si>
    <t xml:space="preserve">MUB Ingeniør </t>
  </si>
  <si>
    <t xml:space="preserve">Retningsmåler </t>
  </si>
  <si>
    <t xml:space="preserve">Borestedsgeolog </t>
  </si>
  <si>
    <t xml:space="preserve">Brønnspesialist </t>
  </si>
  <si>
    <t>Junior fisker</t>
  </si>
  <si>
    <t>Junior retningsborer</t>
  </si>
  <si>
    <t xml:space="preserve">Senior Brønntekniker </t>
  </si>
  <si>
    <t xml:space="preserve">Borevæske Ingeniør </t>
  </si>
  <si>
    <t xml:space="preserve">Senior Dataingeniør </t>
  </si>
  <si>
    <t xml:space="preserve">Senior Geolog </t>
  </si>
  <si>
    <t>Elektro og Instrumenttekniker</t>
  </si>
  <si>
    <t>Spesial Hydrauliker/ Spesial Kranfører</t>
  </si>
  <si>
    <t xml:space="preserve">Senior FU operatør </t>
  </si>
  <si>
    <t xml:space="preserve">Senior Dykkertekniker </t>
  </si>
  <si>
    <t xml:space="preserve">Brønntekniker </t>
  </si>
  <si>
    <t xml:space="preserve">Dataingeniør </t>
  </si>
  <si>
    <t xml:space="preserve">Geolog </t>
  </si>
  <si>
    <t>Fagarbeider/Sveiser/Kranfører/</t>
  </si>
  <si>
    <t xml:space="preserve">FU operatør </t>
  </si>
  <si>
    <t xml:space="preserve">Dykketekniker </t>
  </si>
  <si>
    <t xml:space="preserve">Junior MUB ingeniør </t>
  </si>
  <si>
    <t>Hjelpearbeider / Rigger</t>
  </si>
  <si>
    <t>Opplæringsstillinger 1)</t>
  </si>
  <si>
    <t xml:space="preserve">Senior  Borevæske Ingeniør </t>
  </si>
  <si>
    <t xml:space="preserve">Ny forståelse knyttet til lønnsmatrisen vedr. opplæringsstillinger: Med formuleringen ”gjelder ikke fagarbeidere” menes fagarbeidere som har fagbrev i stillingen vedkommende er / blir ansatt i.
</t>
  </si>
  <si>
    <t>Partene er enige om at:</t>
  </si>
  <si>
    <t>pr. 1.1.2021 strykes lønnstrinn A3, B2, C2 og E3,</t>
  </si>
  <si>
    <t>pr. 1.1.2022 strykes lønnstrinn A4, B3 og E4,</t>
  </si>
  <si>
    <t>pr. 1.1.2023 strykes lønnstrinn B4</t>
  </si>
  <si>
    <t>med mindre partene i forbindelse med hovedoppgjørsforhandlinger blir enige om noe annet.</t>
  </si>
  <si>
    <t>Følgende stillinger avlønnes iht avtalens bestemmelse 3.15.8:</t>
  </si>
  <si>
    <t>I tillegg kommer: Nattillegg kr. 93,50 pr. time, og Bev. helligdagsgodtgjørelse kr.2120,- pr. dag</t>
  </si>
  <si>
    <r>
      <t xml:space="preserve">LØNNSMATRISE FRA </t>
    </r>
    <r>
      <rPr>
        <b/>
        <sz val="12"/>
        <color indexed="8"/>
        <rFont val="Arial"/>
        <family val="2"/>
      </rPr>
      <t>1.6.2021</t>
    </r>
  </si>
  <si>
    <t>Lønnssatser gjeldende fra 1.6.2021</t>
  </si>
  <si>
    <t>I tillegg kommer: Nattillegg kr. 93,50 pr. time, og Bev. helligdagsgodtgjørelse kr. 2120,- pr. 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</si>
</sst>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  <numFmt numFmtId="166" formatCode="_(* #,##0_);_(* \(#,##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10"/>
      <name val="Arial"/>
      <family val="2"/>
    </font>
    <font>
      <b/>
      <sz val="8"/>
      <color indexed="8"/>
      <name val="Century Schoolbook"/>
      <family val="1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14"/>
      <color indexed="1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 Black"/>
      <family val="2"/>
    </font>
    <font>
      <b/>
      <sz val="11"/>
      <color indexed="8"/>
      <name val="Arial Black"/>
      <family val="2"/>
    </font>
    <font>
      <b/>
      <sz val="12"/>
      <color indexed="8"/>
      <name val="Arial Black"/>
      <family val="2"/>
    </font>
    <font>
      <b/>
      <sz val="12"/>
      <color theme="1"/>
      <name val="Arial Black"/>
      <family val="2"/>
    </font>
    <font>
      <sz val="11"/>
      <color theme="1"/>
      <name val="Arial Black"/>
      <family val="2"/>
    </font>
    <font>
      <b/>
      <sz val="11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thin">
        <color rgb="FFFF0000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2">
    <xf numFmtId="0" fontId="0" fillId="0" borderId="0" xfId="0"/>
    <xf numFmtId="0" fontId="0" fillId="0" borderId="1" xfId="0" applyBorder="1"/>
    <xf numFmtId="16" fontId="4" fillId="2" borderId="2" xfId="0" applyNumberFormat="1" applyFont="1" applyFill="1" applyBorder="1"/>
    <xf numFmtId="0" fontId="0" fillId="0" borderId="3" xfId="0" applyBorder="1"/>
    <xf numFmtId="16" fontId="5" fillId="2" borderId="1" xfId="0" applyNumberFormat="1" applyFont="1" applyFill="1" applyBorder="1"/>
    <xf numFmtId="0" fontId="6" fillId="2" borderId="2" xfId="0" applyFont="1" applyFill="1" applyBorder="1"/>
    <xf numFmtId="0" fontId="0" fillId="0" borderId="2" xfId="0" applyBorder="1"/>
    <xf numFmtId="49" fontId="8" fillId="0" borderId="5" xfId="0" applyNumberFormat="1" applyFont="1" applyBorder="1"/>
    <xf numFmtId="16" fontId="6" fillId="3" borderId="6" xfId="0" applyNumberFormat="1" applyFont="1" applyFill="1" applyBorder="1"/>
    <xf numFmtId="0" fontId="9" fillId="2" borderId="7" xfId="0" applyFont="1" applyFill="1" applyBorder="1"/>
    <xf numFmtId="0" fontId="0" fillId="0" borderId="0" xfId="0" applyBorder="1"/>
    <xf numFmtId="0" fontId="6" fillId="2" borderId="0" xfId="0" applyFont="1" applyFill="1" applyBorder="1"/>
    <xf numFmtId="0" fontId="0" fillId="0" borderId="8" xfId="0" applyBorder="1"/>
    <xf numFmtId="0" fontId="0" fillId="0" borderId="10" xfId="0" applyBorder="1"/>
    <xf numFmtId="0" fontId="10" fillId="4" borderId="4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164" fontId="8" fillId="3" borderId="13" xfId="1" applyNumberFormat="1" applyFont="1" applyFill="1" applyBorder="1"/>
    <xf numFmtId="164" fontId="8" fillId="3" borderId="8" xfId="1" applyNumberFormat="1" applyFont="1" applyFill="1" applyBorder="1"/>
    <xf numFmtId="164" fontId="8" fillId="3" borderId="0" xfId="1" applyNumberFormat="1" applyFont="1" applyFill="1" applyBorder="1"/>
    <xf numFmtId="0" fontId="0" fillId="0" borderId="7" xfId="0" applyBorder="1"/>
    <xf numFmtId="0" fontId="0" fillId="0" borderId="13" xfId="0" applyBorder="1"/>
    <xf numFmtId="165" fontId="8" fillId="3" borderId="13" xfId="1" applyNumberFormat="1" applyFont="1" applyFill="1" applyBorder="1"/>
    <xf numFmtId="165" fontId="8" fillId="3" borderId="8" xfId="1" applyNumberFormat="1" applyFont="1" applyFill="1" applyBorder="1"/>
    <xf numFmtId="165" fontId="8" fillId="3" borderId="0" xfId="1" applyNumberFormat="1" applyFont="1" applyFill="1" applyBorder="1"/>
    <xf numFmtId="0" fontId="16" fillId="0" borderId="13" xfId="0" applyFont="1" applyBorder="1"/>
    <xf numFmtId="165" fontId="8" fillId="3" borderId="6" xfId="1" applyNumberFormat="1" applyFont="1" applyFill="1" applyBorder="1"/>
    <xf numFmtId="165" fontId="8" fillId="3" borderId="5" xfId="1" applyNumberFormat="1" applyFont="1" applyFill="1" applyBorder="1"/>
    <xf numFmtId="0" fontId="0" fillId="0" borderId="4" xfId="0" applyBorder="1"/>
    <xf numFmtId="0" fontId="8" fillId="3" borderId="12" xfId="0" applyFont="1" applyFill="1" applyBorder="1"/>
    <xf numFmtId="166" fontId="1" fillId="0" borderId="0" xfId="1" applyNumberFormat="1" applyFont="1" applyBorder="1"/>
    <xf numFmtId="0" fontId="18" fillId="0" borderId="15" xfId="0" applyFont="1" applyBorder="1"/>
    <xf numFmtId="0" fontId="0" fillId="0" borderId="15" xfId="0" applyBorder="1"/>
    <xf numFmtId="0" fontId="6" fillId="3" borderId="0" xfId="0" applyFont="1" applyFill="1" applyBorder="1"/>
    <xf numFmtId="0" fontId="5" fillId="5" borderId="2" xfId="0" applyFont="1" applyFill="1" applyBorder="1" applyAlignment="1"/>
    <xf numFmtId="0" fontId="7" fillId="0" borderId="7" xfId="0" applyFont="1" applyBorder="1" applyAlignment="1">
      <alignment horizontal="center"/>
    </xf>
    <xf numFmtId="49" fontId="7" fillId="0" borderId="8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  <xf numFmtId="0" fontId="0" fillId="0" borderId="9" xfId="0" applyBorder="1"/>
    <xf numFmtId="49" fontId="6" fillId="0" borderId="6" xfId="0" applyNumberFormat="1" applyFont="1" applyBorder="1"/>
    <xf numFmtId="49" fontId="7" fillId="0" borderId="5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3" fillId="0" borderId="14" xfId="0" applyFont="1" applyBorder="1"/>
    <xf numFmtId="0" fontId="13" fillId="2" borderId="1" xfId="0" applyFont="1" applyFill="1" applyBorder="1"/>
    <xf numFmtId="0" fontId="13" fillId="0" borderId="7" xfId="0" applyFont="1" applyBorder="1" applyAlignment="1">
      <alignment horizontal="center"/>
    </xf>
    <xf numFmtId="0" fontId="13" fillId="0" borderId="13" xfId="0" applyFont="1" applyBorder="1"/>
    <xf numFmtId="0" fontId="16" fillId="2" borderId="7" xfId="0" applyFont="1" applyFill="1" applyBorder="1"/>
    <xf numFmtId="1" fontId="22" fillId="3" borderId="7" xfId="0" applyNumberFormat="1" applyFont="1" applyFill="1" applyBorder="1"/>
    <xf numFmtId="1" fontId="22" fillId="3" borderId="13" xfId="0" applyNumberFormat="1" applyFont="1" applyFill="1" applyBorder="1"/>
    <xf numFmtId="1" fontId="22" fillId="3" borderId="8" xfId="0" applyNumberFormat="1" applyFont="1" applyFill="1" applyBorder="1"/>
    <xf numFmtId="0" fontId="16" fillId="2" borderId="7" xfId="0" applyFont="1" applyFill="1" applyBorder="1" applyAlignment="1">
      <alignment horizontal="left"/>
    </xf>
    <xf numFmtId="2" fontId="22" fillId="3" borderId="7" xfId="0" applyNumberFormat="1" applyFont="1" applyFill="1" applyBorder="1"/>
    <xf numFmtId="2" fontId="22" fillId="3" borderId="13" xfId="0" applyNumberFormat="1" applyFont="1" applyFill="1" applyBorder="1"/>
    <xf numFmtId="2" fontId="22" fillId="3" borderId="8" xfId="0" applyNumberFormat="1" applyFont="1" applyFill="1" applyBorder="1"/>
    <xf numFmtId="0" fontId="15" fillId="0" borderId="13" xfId="0" applyFont="1" applyBorder="1"/>
    <xf numFmtId="49" fontId="6" fillId="0" borderId="12" xfId="0" applyNumberFormat="1" applyFont="1" applyBorder="1"/>
    <xf numFmtId="0" fontId="16" fillId="2" borderId="4" xfId="0" applyFont="1" applyFill="1" applyBorder="1" applyAlignment="1">
      <alignment horizontal="left"/>
    </xf>
    <xf numFmtId="2" fontId="22" fillId="3" borderId="4" xfId="0" applyNumberFormat="1" applyFont="1" applyFill="1" applyBorder="1"/>
    <xf numFmtId="2" fontId="22" fillId="3" borderId="12" xfId="0" applyNumberFormat="1" applyFont="1" applyFill="1" applyBorder="1"/>
    <xf numFmtId="0" fontId="11" fillId="0" borderId="14" xfId="0" applyFont="1" applyBorder="1" applyAlignment="1">
      <alignment horizontal="center"/>
    </xf>
    <xf numFmtId="0" fontId="13" fillId="0" borderId="7" xfId="0" applyFont="1" applyBorder="1"/>
    <xf numFmtId="0" fontId="13" fillId="0" borderId="13" xfId="0" applyFont="1" applyBorder="1" applyAlignment="1">
      <alignment horizontal="center"/>
    </xf>
    <xf numFmtId="0" fontId="22" fillId="3" borderId="7" xfId="0" applyFont="1" applyFill="1" applyBorder="1"/>
    <xf numFmtId="0" fontId="13" fillId="0" borderId="12" xfId="0" applyFont="1" applyBorder="1" applyAlignment="1">
      <alignment horizontal="center"/>
    </xf>
    <xf numFmtId="0" fontId="15" fillId="0" borderId="0" xfId="0" applyFont="1"/>
    <xf numFmtId="0" fontId="13" fillId="0" borderId="4" xfId="0" applyFont="1" applyBorder="1"/>
    <xf numFmtId="0" fontId="8" fillId="2" borderId="5" xfId="0" applyFont="1" applyFill="1" applyBorder="1"/>
    <xf numFmtId="0" fontId="22" fillId="3" borderId="4" xfId="0" applyFont="1" applyFill="1" applyBorder="1"/>
    <xf numFmtId="0" fontId="11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49" fontId="15" fillId="0" borderId="13" xfId="0" applyNumberFormat="1" applyFont="1" applyBorder="1"/>
    <xf numFmtId="0" fontId="13" fillId="0" borderId="12" xfId="0" applyFont="1" applyBorder="1"/>
    <xf numFmtId="0" fontId="23" fillId="0" borderId="0" xfId="0" applyFont="1" applyBorder="1"/>
    <xf numFmtId="49" fontId="20" fillId="0" borderId="0" xfId="0" applyNumberFormat="1" applyFont="1" applyBorder="1"/>
    <xf numFmtId="0" fontId="20" fillId="2" borderId="0" xfId="0" applyFont="1" applyFill="1" applyBorder="1"/>
    <xf numFmtId="0" fontId="24" fillId="0" borderId="0" xfId="0" applyFont="1"/>
    <xf numFmtId="0" fontId="24" fillId="0" borderId="16" xfId="0" applyFont="1" applyBorder="1" applyAlignment="1">
      <alignment horizontal="left"/>
    </xf>
    <xf numFmtId="0" fontId="24" fillId="0" borderId="17" xfId="0" applyFont="1" applyBorder="1" applyAlignment="1">
      <alignment horizontal="left"/>
    </xf>
    <xf numFmtId="0" fontId="24" fillId="0" borderId="18" xfId="0" applyFont="1" applyBorder="1" applyAlignment="1">
      <alignment horizontal="left"/>
    </xf>
    <xf numFmtId="0" fontId="25" fillId="2" borderId="16" xfId="0" applyFont="1" applyFill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" fillId="0" borderId="0" xfId="0" applyFont="1"/>
    <xf numFmtId="0" fontId="5" fillId="6" borderId="2" xfId="0" applyFont="1" applyFill="1" applyBorder="1" applyAlignment="1"/>
    <xf numFmtId="0" fontId="6" fillId="6" borderId="2" xfId="0" applyFont="1" applyFill="1" applyBorder="1"/>
    <xf numFmtId="164" fontId="8" fillId="6" borderId="8" xfId="1" applyNumberFormat="1" applyFont="1" applyFill="1" applyBorder="1"/>
    <xf numFmtId="1" fontId="13" fillId="3" borderId="13" xfId="0" applyNumberFormat="1" applyFont="1" applyFill="1" applyBorder="1"/>
    <xf numFmtId="2" fontId="13" fillId="3" borderId="13" xfId="0" applyNumberFormat="1" applyFont="1" applyFill="1" applyBorder="1"/>
    <xf numFmtId="2" fontId="13" fillId="3" borderId="12" xfId="0" applyNumberFormat="1" applyFont="1" applyFill="1" applyBorder="1"/>
    <xf numFmtId="164" fontId="8" fillId="6" borderId="13" xfId="1" applyNumberFormat="1" applyFont="1" applyFill="1" applyBorder="1"/>
    <xf numFmtId="3" fontId="4" fillId="3" borderId="3" xfId="0" applyNumberFormat="1" applyFont="1" applyFill="1" applyBorder="1" applyAlignment="1">
      <alignment vertical="top"/>
    </xf>
    <xf numFmtId="0" fontId="20" fillId="3" borderId="10" xfId="0" applyFont="1" applyFill="1" applyBorder="1"/>
    <xf numFmtId="0" fontId="21" fillId="3" borderId="10" xfId="0" applyFont="1" applyFill="1" applyBorder="1"/>
    <xf numFmtId="0" fontId="24" fillId="0" borderId="0" xfId="0" applyFont="1" applyBorder="1" applyAlignment="1">
      <alignment vertical="center"/>
    </xf>
    <xf numFmtId="16" fontId="4" fillId="2" borderId="0" xfId="0" applyNumberFormat="1" applyFont="1" applyFill="1" applyBorder="1"/>
    <xf numFmtId="0" fontId="5" fillId="3" borderId="0" xfId="0" applyFont="1" applyFill="1" applyBorder="1" applyAlignment="1"/>
    <xf numFmtId="0" fontId="0" fillId="6" borderId="2" xfId="0" applyFill="1" applyBorder="1"/>
    <xf numFmtId="0" fontId="7" fillId="3" borderId="13" xfId="0" applyFont="1" applyFill="1" applyBorder="1" applyAlignment="1">
      <alignment horizontal="center"/>
    </xf>
    <xf numFmtId="0" fontId="0" fillId="0" borderId="17" xfId="0" applyBorder="1"/>
    <xf numFmtId="3" fontId="4" fillId="3" borderId="20" xfId="0" applyNumberFormat="1" applyFont="1" applyFill="1" applyBorder="1" applyAlignment="1">
      <alignment vertical="top"/>
    </xf>
    <xf numFmtId="164" fontId="8" fillId="3" borderId="21" xfId="1" applyNumberFormat="1" applyFont="1" applyFill="1" applyBorder="1"/>
    <xf numFmtId="165" fontId="8" fillId="3" borderId="21" xfId="1" applyNumberFormat="1" applyFont="1" applyFill="1" applyBorder="1"/>
    <xf numFmtId="165" fontId="8" fillId="3" borderId="22" xfId="1" applyNumberFormat="1" applyFont="1" applyFill="1" applyBorder="1"/>
    <xf numFmtId="0" fontId="0" fillId="3" borderId="7" xfId="0" applyFill="1" applyBorder="1"/>
    <xf numFmtId="164" fontId="8" fillId="6" borderId="7" xfId="1" applyNumberFormat="1" applyFont="1" applyFill="1" applyBorder="1"/>
    <xf numFmtId="1" fontId="13" fillId="3" borderId="7" xfId="0" applyNumberFormat="1" applyFont="1" applyFill="1" applyBorder="1"/>
    <xf numFmtId="2" fontId="13" fillId="3" borderId="7" xfId="0" applyNumberFormat="1" applyFont="1" applyFill="1" applyBorder="1"/>
    <xf numFmtId="0" fontId="8" fillId="3" borderId="19" xfId="0" applyFont="1" applyFill="1" applyBorder="1"/>
    <xf numFmtId="0" fontId="6" fillId="3" borderId="19" xfId="0" applyFont="1" applyFill="1" applyBorder="1"/>
    <xf numFmtId="0" fontId="0" fillId="3" borderId="19" xfId="0" applyFill="1" applyBorder="1"/>
    <xf numFmtId="1" fontId="22" fillId="3" borderId="21" xfId="0" applyNumberFormat="1" applyFont="1" applyFill="1" applyBorder="1"/>
    <xf numFmtId="2" fontId="22" fillId="3" borderId="21" xfId="0" applyNumberFormat="1" applyFont="1" applyFill="1" applyBorder="1"/>
    <xf numFmtId="0" fontId="0" fillId="0" borderId="16" xfId="0" applyBorder="1"/>
    <xf numFmtId="0" fontId="0" fillId="0" borderId="18" xfId="0" applyBorder="1"/>
    <xf numFmtId="0" fontId="0" fillId="3" borderId="13" xfId="0" applyFill="1" applyBorder="1"/>
    <xf numFmtId="0" fontId="0" fillId="0" borderId="12" xfId="0" applyBorder="1"/>
    <xf numFmtId="0" fontId="0" fillId="0" borderId="14" xfId="0" applyBorder="1"/>
    <xf numFmtId="165" fontId="8" fillId="3" borderId="12" xfId="1" applyNumberFormat="1" applyFont="1" applyFill="1" applyBorder="1"/>
    <xf numFmtId="0" fontId="24" fillId="0" borderId="23" xfId="0" applyFont="1" applyBorder="1" applyAlignment="1">
      <alignment horizontal="left"/>
    </xf>
    <xf numFmtId="0" fontId="0" fillId="0" borderId="11" xfId="0" applyBorder="1"/>
    <xf numFmtId="1" fontId="22" fillId="3" borderId="0" xfId="0" applyNumberFormat="1" applyFont="1" applyFill="1" applyBorder="1"/>
    <xf numFmtId="2" fontId="22" fillId="3" borderId="0" xfId="0" applyNumberFormat="1" applyFont="1" applyFill="1" applyBorder="1"/>
    <xf numFmtId="1" fontId="22" fillId="3" borderId="26" xfId="0" applyNumberFormat="1" applyFont="1" applyFill="1" applyBorder="1"/>
    <xf numFmtId="2" fontId="22" fillId="3" borderId="26" xfId="0" applyNumberFormat="1" applyFont="1" applyFill="1" applyBorder="1"/>
    <xf numFmtId="2" fontId="22" fillId="3" borderId="5" xfId="0" applyNumberFormat="1" applyFont="1" applyFill="1" applyBorder="1"/>
    <xf numFmtId="2" fontId="22" fillId="3" borderId="29" xfId="0" applyNumberFormat="1" applyFont="1" applyFill="1" applyBorder="1"/>
    <xf numFmtId="2" fontId="22" fillId="3" borderId="30" xfId="0" applyNumberFormat="1" applyFont="1" applyFill="1" applyBorder="1"/>
    <xf numFmtId="2" fontId="22" fillId="3" borderId="6" xfId="0" applyNumberFormat="1" applyFont="1" applyFill="1" applyBorder="1"/>
    <xf numFmtId="1" fontId="22" fillId="7" borderId="21" xfId="0" applyNumberFormat="1" applyFont="1" applyFill="1" applyBorder="1"/>
    <xf numFmtId="164" fontId="8" fillId="7" borderId="13" xfId="1" applyNumberFormat="1" applyFont="1" applyFill="1" applyBorder="1"/>
    <xf numFmtId="164" fontId="8" fillId="7" borderId="8" xfId="1" applyNumberFormat="1" applyFont="1" applyFill="1" applyBorder="1"/>
    <xf numFmtId="1" fontId="22" fillId="7" borderId="7" xfId="0" applyNumberFormat="1" applyFont="1" applyFill="1" applyBorder="1"/>
    <xf numFmtId="1" fontId="22" fillId="7" borderId="13" xfId="0" applyNumberFormat="1" applyFont="1" applyFill="1" applyBorder="1"/>
    <xf numFmtId="1" fontId="22" fillId="7" borderId="0" xfId="0" applyNumberFormat="1" applyFont="1" applyFill="1" applyBorder="1"/>
    <xf numFmtId="1" fontId="22" fillId="3" borderId="25" xfId="0" applyNumberFormat="1" applyFont="1" applyFill="1" applyBorder="1"/>
    <xf numFmtId="2" fontId="22" fillId="3" borderId="25" xfId="0" applyNumberFormat="1" applyFont="1" applyFill="1" applyBorder="1"/>
    <xf numFmtId="0" fontId="0" fillId="3" borderId="25" xfId="0" applyFill="1" applyBorder="1"/>
    <xf numFmtId="0" fontId="0" fillId="3" borderId="31" xfId="0" applyFill="1" applyBorder="1"/>
    <xf numFmtId="164" fontId="8" fillId="7" borderId="0" xfId="1" applyNumberFormat="1" applyFont="1" applyFill="1" applyBorder="1"/>
    <xf numFmtId="1" fontId="22" fillId="7" borderId="25" xfId="0" applyNumberFormat="1" applyFont="1" applyFill="1" applyBorder="1"/>
    <xf numFmtId="1" fontId="0" fillId="7" borderId="13" xfId="0" applyNumberFormat="1" applyFill="1" applyBorder="1"/>
    <xf numFmtId="2" fontId="0" fillId="0" borderId="13" xfId="0" applyNumberFormat="1" applyBorder="1"/>
    <xf numFmtId="1" fontId="0" fillId="0" borderId="13" xfId="0" applyNumberFormat="1" applyBorder="1"/>
    <xf numFmtId="2" fontId="0" fillId="0" borderId="12" xfId="0" applyNumberFormat="1" applyBorder="1"/>
    <xf numFmtId="0" fontId="30" fillId="0" borderId="14" xfId="0" applyFont="1" applyBorder="1" applyAlignment="1">
      <alignment horizontal="center"/>
    </xf>
    <xf numFmtId="3" fontId="31" fillId="3" borderId="13" xfId="0" applyNumberFormat="1" applyFont="1" applyFill="1" applyBorder="1" applyAlignment="1">
      <alignment vertical="top"/>
    </xf>
    <xf numFmtId="3" fontId="31" fillId="3" borderId="7" xfId="0" applyNumberFormat="1" applyFont="1" applyFill="1" applyBorder="1" applyAlignment="1">
      <alignment vertical="top"/>
    </xf>
    <xf numFmtId="164" fontId="30" fillId="3" borderId="13" xfId="1" applyNumberFormat="1" applyFont="1" applyFill="1" applyBorder="1"/>
    <xf numFmtId="164" fontId="30" fillId="0" borderId="7" xfId="0" applyNumberFormat="1" applyFont="1" applyBorder="1"/>
    <xf numFmtId="0" fontId="30" fillId="3" borderId="25" xfId="0" applyFont="1" applyFill="1" applyBorder="1" applyAlignment="1">
      <alignment horizontal="center"/>
    </xf>
    <xf numFmtId="3" fontId="32" fillId="3" borderId="14" xfId="0" applyNumberFormat="1" applyFont="1" applyFill="1" applyBorder="1" applyAlignment="1">
      <alignment vertical="top"/>
    </xf>
    <xf numFmtId="3" fontId="32" fillId="3" borderId="1" xfId="0" applyNumberFormat="1" applyFont="1" applyFill="1" applyBorder="1" applyAlignment="1">
      <alignment vertical="top"/>
    </xf>
    <xf numFmtId="164" fontId="33" fillId="0" borderId="1" xfId="0" applyNumberFormat="1" applyFont="1" applyBorder="1"/>
    <xf numFmtId="0" fontId="30" fillId="0" borderId="14" xfId="0" applyFont="1" applyBorder="1"/>
    <xf numFmtId="3" fontId="31" fillId="3" borderId="3" xfId="0" applyNumberFormat="1" applyFont="1" applyFill="1" applyBorder="1" applyAlignment="1">
      <alignment vertical="top"/>
    </xf>
    <xf numFmtId="3" fontId="31" fillId="3" borderId="14" xfId="0" applyNumberFormat="1" applyFont="1" applyFill="1" applyBorder="1" applyAlignment="1">
      <alignment vertical="top"/>
    </xf>
    <xf numFmtId="3" fontId="31" fillId="3" borderId="1" xfId="0" applyNumberFormat="1" applyFont="1" applyFill="1" applyBorder="1" applyAlignment="1">
      <alignment vertical="top"/>
    </xf>
    <xf numFmtId="164" fontId="30" fillId="0" borderId="1" xfId="0" applyNumberFormat="1" applyFont="1" applyBorder="1"/>
    <xf numFmtId="0" fontId="30" fillId="3" borderId="24" xfId="0" applyFont="1" applyFill="1" applyBorder="1" applyAlignment="1">
      <alignment horizontal="center"/>
    </xf>
    <xf numFmtId="164" fontId="30" fillId="3" borderId="1" xfId="1" applyNumberFormat="1" applyFont="1" applyFill="1" applyBorder="1"/>
    <xf numFmtId="164" fontId="30" fillId="3" borderId="14" xfId="1" applyNumberFormat="1" applyFont="1" applyFill="1" applyBorder="1"/>
    <xf numFmtId="0" fontId="30" fillId="0" borderId="27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164" fontId="22" fillId="0" borderId="21" xfId="1" applyNumberFormat="1" applyFont="1" applyBorder="1"/>
    <xf numFmtId="164" fontId="22" fillId="0" borderId="21" xfId="0" applyNumberFormat="1" applyFont="1" applyBorder="1"/>
    <xf numFmtId="43" fontId="22" fillId="0" borderId="21" xfId="1" applyFont="1" applyBorder="1"/>
    <xf numFmtId="43" fontId="22" fillId="0" borderId="22" xfId="1" applyFont="1" applyBorder="1"/>
    <xf numFmtId="0" fontId="34" fillId="0" borderId="14" xfId="0" applyFont="1" applyBorder="1"/>
    <xf numFmtId="3" fontId="4" fillId="3" borderId="21" xfId="0" applyNumberFormat="1" applyFont="1" applyFill="1" applyBorder="1" applyAlignment="1">
      <alignment vertical="top"/>
    </xf>
    <xf numFmtId="0" fontId="8" fillId="3" borderId="21" xfId="0" applyFont="1" applyFill="1" applyBorder="1"/>
    <xf numFmtId="0" fontId="11" fillId="3" borderId="4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8" fillId="6" borderId="0" xfId="1" applyNumberFormat="1" applyFont="1" applyFill="1" applyBorder="1"/>
    <xf numFmtId="0" fontId="0" fillId="0" borderId="21" xfId="0" applyBorder="1"/>
    <xf numFmtId="0" fontId="0" fillId="0" borderId="22" xfId="0" applyBorder="1"/>
    <xf numFmtId="0" fontId="0" fillId="6" borderId="7" xfId="0" applyFill="1" applyBorder="1"/>
    <xf numFmtId="1" fontId="0" fillId="3" borderId="7" xfId="0" applyNumberFormat="1" applyFill="1" applyBorder="1"/>
    <xf numFmtId="2" fontId="0" fillId="3" borderId="7" xfId="0" applyNumberFormat="1" applyFill="1" applyBorder="1"/>
    <xf numFmtId="0" fontId="0" fillId="3" borderId="32" xfId="0" applyFill="1" applyBorder="1"/>
    <xf numFmtId="2" fontId="0" fillId="3" borderId="32" xfId="0" applyNumberFormat="1" applyFill="1" applyBorder="1"/>
    <xf numFmtId="0" fontId="0" fillId="6" borderId="21" xfId="0" applyFill="1" applyBorder="1"/>
    <xf numFmtId="2" fontId="0" fillId="0" borderId="21" xfId="0" applyNumberFormat="1" applyBorder="1"/>
    <xf numFmtId="1" fontId="0" fillId="0" borderId="21" xfId="0" applyNumberFormat="1" applyBorder="1"/>
    <xf numFmtId="0" fontId="34" fillId="0" borderId="20" xfId="0" applyFont="1" applyBorder="1"/>
    <xf numFmtId="2" fontId="0" fillId="0" borderId="22" xfId="0" applyNumberFormat="1" applyBorder="1"/>
    <xf numFmtId="0" fontId="30" fillId="0" borderId="20" xfId="0" applyFont="1" applyBorder="1"/>
    <xf numFmtId="0" fontId="30" fillId="3" borderId="33" xfId="0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34" fillId="0" borderId="7" xfId="0" applyFont="1" applyBorder="1"/>
    <xf numFmtId="2" fontId="0" fillId="0" borderId="7" xfId="0" applyNumberFormat="1" applyBorder="1"/>
    <xf numFmtId="1" fontId="0" fillId="0" borderId="7" xfId="0" applyNumberFormat="1" applyBorder="1"/>
    <xf numFmtId="2" fontId="0" fillId="0" borderId="4" xfId="0" applyNumberFormat="1" applyBorder="1"/>
    <xf numFmtId="0" fontId="35" fillId="0" borderId="9" xfId="0" applyFont="1" applyFill="1" applyBorder="1" applyAlignment="1">
      <alignment vertical="center"/>
    </xf>
    <xf numFmtId="0" fontId="35" fillId="0" borderId="10" xfId="0" applyFont="1" applyFill="1" applyBorder="1" applyAlignment="1">
      <alignment vertical="center"/>
    </xf>
    <xf numFmtId="0" fontId="29" fillId="8" borderId="34" xfId="0" applyFont="1" applyFill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9" fillId="9" borderId="34" xfId="0" applyFont="1" applyFill="1" applyBorder="1" applyAlignment="1">
      <alignment horizontal="center" vertical="center" wrapText="1"/>
    </xf>
    <xf numFmtId="0" fontId="29" fillId="9" borderId="35" xfId="0" applyFont="1" applyFill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10" borderId="22" xfId="0" applyFill="1" applyBorder="1"/>
    <xf numFmtId="0" fontId="0" fillId="10" borderId="37" xfId="0" applyFill="1" applyBorder="1"/>
    <xf numFmtId="0" fontId="0" fillId="0" borderId="17" xfId="0" applyBorder="1" applyAlignment="1">
      <alignment vertical="center"/>
    </xf>
    <xf numFmtId="0" fontId="36" fillId="0" borderId="17" xfId="0" applyFont="1" applyBorder="1" applyAlignment="1">
      <alignment vertical="center"/>
    </xf>
    <xf numFmtId="0" fontId="36" fillId="9" borderId="17" xfId="0" applyFont="1" applyFill="1" applyBorder="1" applyAlignment="1">
      <alignment vertical="center"/>
    </xf>
    <xf numFmtId="0" fontId="36" fillId="9" borderId="38" xfId="0" applyFont="1" applyFill="1" applyBorder="1" applyAlignment="1">
      <alignment vertical="center"/>
    </xf>
    <xf numFmtId="0" fontId="0" fillId="0" borderId="39" xfId="0" applyBorder="1" applyAlignment="1">
      <alignment vertical="center"/>
    </xf>
    <xf numFmtId="0" fontId="36" fillId="8" borderId="39" xfId="0" applyFont="1" applyFill="1" applyBorder="1" applyAlignment="1">
      <alignment vertical="center"/>
    </xf>
    <xf numFmtId="0" fontId="36" fillId="0" borderId="39" xfId="0" applyFont="1" applyBorder="1" applyAlignment="1">
      <alignment vertical="center"/>
    </xf>
    <xf numFmtId="0" fontId="36" fillId="9" borderId="39" xfId="0" applyFont="1" applyFill="1" applyBorder="1" applyAlignment="1">
      <alignment vertical="center"/>
    </xf>
    <xf numFmtId="0" fontId="36" fillId="9" borderId="40" xfId="0" applyFont="1" applyFill="1" applyBorder="1" applyAlignment="1">
      <alignment vertical="center"/>
    </xf>
    <xf numFmtId="0" fontId="0" fillId="0" borderId="41" xfId="0" applyBorder="1"/>
    <xf numFmtId="0" fontId="0" fillId="10" borderId="41" xfId="0" applyFill="1" applyBorder="1"/>
    <xf numFmtId="0" fontId="0" fillId="10" borderId="42" xfId="0" applyFill="1" applyBorder="1"/>
    <xf numFmtId="0" fontId="0" fillId="8" borderId="22" xfId="0" applyFill="1" applyBorder="1"/>
    <xf numFmtId="0" fontId="36" fillId="9" borderId="22" xfId="0" applyFont="1" applyFill="1" applyBorder="1" applyAlignment="1">
      <alignment vertical="center"/>
    </xf>
    <xf numFmtId="0" fontId="36" fillId="9" borderId="37" xfId="0" applyFont="1" applyFill="1" applyBorder="1" applyAlignment="1">
      <alignment vertical="center"/>
    </xf>
    <xf numFmtId="0" fontId="38" fillId="0" borderId="0" xfId="0" applyFont="1" applyFill="1" applyBorder="1"/>
    <xf numFmtId="3" fontId="14" fillId="0" borderId="0" xfId="0" applyNumberFormat="1" applyFont="1" applyFill="1" applyBorder="1"/>
    <xf numFmtId="166" fontId="38" fillId="0" borderId="0" xfId="1" applyNumberFormat="1" applyFont="1" applyFill="1" applyBorder="1"/>
    <xf numFmtId="0" fontId="29" fillId="0" borderId="1" xfId="0" applyFont="1" applyBorder="1" applyAlignment="1">
      <alignment vertical="center" wrapText="1"/>
    </xf>
    <xf numFmtId="0" fontId="12" fillId="0" borderId="1" xfId="0" applyFont="1" applyFill="1" applyBorder="1"/>
    <xf numFmtId="0" fontId="29" fillId="0" borderId="17" xfId="0" applyFont="1" applyBorder="1" applyAlignment="1">
      <alignment vertical="center"/>
    </xf>
    <xf numFmtId="0" fontId="0" fillId="0" borderId="23" xfId="0" applyBorder="1"/>
    <xf numFmtId="0" fontId="36" fillId="0" borderId="1" xfId="0" applyFont="1" applyBorder="1" applyAlignment="1">
      <alignment vertical="center" wrapText="1"/>
    </xf>
    <xf numFmtId="0" fontId="36" fillId="0" borderId="7" xfId="0" applyFont="1" applyBorder="1" applyAlignment="1">
      <alignment vertical="center" wrapText="1"/>
    </xf>
    <xf numFmtId="0" fontId="37" fillId="0" borderId="7" xfId="0" applyFont="1" applyBorder="1" applyAlignment="1">
      <alignment vertical="center" wrapText="1"/>
    </xf>
    <xf numFmtId="0" fontId="36" fillId="0" borderId="4" xfId="0" applyFont="1" applyBorder="1" applyAlignment="1">
      <alignment vertical="center" wrapText="1"/>
    </xf>
    <xf numFmtId="0" fontId="0" fillId="0" borderId="44" xfId="0" applyBorder="1"/>
    <xf numFmtId="0" fontId="0" fillId="0" borderId="43" xfId="0" applyBorder="1"/>
    <xf numFmtId="0" fontId="0" fillId="0" borderId="45" xfId="0" applyBorder="1"/>
    <xf numFmtId="0" fontId="36" fillId="0" borderId="17" xfId="0" applyFont="1" applyBorder="1" applyAlignment="1">
      <alignment vertical="center" wrapText="1"/>
    </xf>
    <xf numFmtId="0" fontId="0" fillId="0" borderId="36" xfId="0" applyBorder="1"/>
    <xf numFmtId="0" fontId="28" fillId="0" borderId="4" xfId="0" applyFont="1" applyBorder="1" applyAlignment="1">
      <alignment vertical="center" wrapText="1"/>
    </xf>
    <xf numFmtId="0" fontId="38" fillId="0" borderId="17" xfId="0" applyFont="1" applyBorder="1" applyAlignment="1">
      <alignment vertical="center"/>
    </xf>
    <xf numFmtId="0" fontId="38" fillId="0" borderId="17" xfId="0" applyFont="1" applyFill="1" applyBorder="1" applyAlignment="1">
      <alignment vertical="center"/>
    </xf>
    <xf numFmtId="0" fontId="37" fillId="0" borderId="4" xfId="0" applyFont="1" applyBorder="1" applyAlignment="1">
      <alignment vertical="center" wrapText="1"/>
    </xf>
    <xf numFmtId="0" fontId="0" fillId="11" borderId="0" xfId="0" applyFill="1"/>
    <xf numFmtId="0" fontId="39" fillId="3" borderId="22" xfId="0" applyFont="1" applyFill="1" applyBorder="1"/>
    <xf numFmtId="0" fontId="40" fillId="3" borderId="17" xfId="0" applyFont="1" applyFill="1" applyBorder="1" applyAlignment="1">
      <alignment vertical="center"/>
    </xf>
    <xf numFmtId="0" fontId="40" fillId="3" borderId="39" xfId="0" applyFont="1" applyFill="1" applyBorder="1" applyAlignment="1">
      <alignment vertical="center"/>
    </xf>
    <xf numFmtId="0" fontId="0" fillId="3" borderId="41" xfId="0" applyFill="1" applyBorder="1"/>
    <xf numFmtId="0" fontId="36" fillId="3" borderId="17" xfId="0" applyFont="1" applyFill="1" applyBorder="1" applyAlignment="1">
      <alignment vertical="center"/>
    </xf>
    <xf numFmtId="0" fontId="36" fillId="3" borderId="39" xfId="0" applyFont="1" applyFill="1" applyBorder="1" applyAlignment="1">
      <alignment vertical="center"/>
    </xf>
    <xf numFmtId="0" fontId="0" fillId="3" borderId="22" xfId="0" applyFill="1" applyBorder="1"/>
    <xf numFmtId="0" fontId="0" fillId="3" borderId="0" xfId="0" applyFill="1"/>
    <xf numFmtId="3" fontId="31" fillId="3" borderId="8" xfId="0" applyNumberFormat="1" applyFont="1" applyFill="1" applyBorder="1" applyAlignment="1">
      <alignment vertical="top"/>
    </xf>
    <xf numFmtId="0" fontId="8" fillId="3" borderId="6" xfId="0" applyFont="1" applyFill="1" applyBorder="1"/>
    <xf numFmtId="164" fontId="22" fillId="7" borderId="25" xfId="1" applyNumberFormat="1" applyFont="1" applyFill="1" applyBorder="1"/>
    <xf numFmtId="164" fontId="22" fillId="7" borderId="0" xfId="1" applyNumberFormat="1" applyFont="1" applyFill="1" applyBorder="1"/>
    <xf numFmtId="164" fontId="22" fillId="7" borderId="21" xfId="1" applyNumberFormat="1" applyFont="1" applyFill="1" applyBorder="1"/>
    <xf numFmtId="164" fontId="22" fillId="7" borderId="8" xfId="1" applyNumberFormat="1" applyFont="1" applyFill="1" applyBorder="1"/>
    <xf numFmtId="0" fontId="38" fillId="0" borderId="16" xfId="0" applyFont="1" applyFill="1" applyBorder="1" applyAlignment="1">
      <alignment vertical="top" wrapText="1"/>
    </xf>
    <xf numFmtId="0" fontId="38" fillId="0" borderId="23" xfId="0" applyFont="1" applyFill="1" applyBorder="1" applyAlignment="1">
      <alignment vertical="top" wrapText="1"/>
    </xf>
    <xf numFmtId="0" fontId="38" fillId="0" borderId="18" xfId="0" applyFont="1" applyFill="1" applyBorder="1" applyAlignment="1">
      <alignment vertical="top" wrapText="1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66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352425</xdr:colOff>
      <xdr:row>2</xdr:row>
      <xdr:rowOff>57150</xdr:rowOff>
    </xdr:to>
    <xdr:pic>
      <xdr:nvPicPr>
        <xdr:cNvPr id="2" name="Picture 1" descr="C:\Documents and Settings\leifj\Mine dokumenter\002 Industri Energi\LOGO ie\ie_logo_web_uten_tekst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52425" cy="437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352425</xdr:colOff>
      <xdr:row>2</xdr:row>
      <xdr:rowOff>57150</xdr:rowOff>
    </xdr:to>
    <xdr:pic>
      <xdr:nvPicPr>
        <xdr:cNvPr id="2" name="Picture 1" descr="C:\Documents and Settings\leifj\Mine dokumenter\002 Industri Energi\LOGO ie\ie_logo_web_uten_tekst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524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4"/>
  <sheetViews>
    <sheetView workbookViewId="0">
      <selection activeCell="G21" sqref="G21"/>
    </sheetView>
  </sheetViews>
  <sheetFormatPr baseColWidth="10" defaultRowHeight="14.4" x14ac:dyDescent="0.3"/>
  <sheetData>
    <row r="1" spans="1:16" ht="15" thickBot="1" x14ac:dyDescent="0.35">
      <c r="A1" s="1"/>
      <c r="B1" s="196" t="s">
        <v>101</v>
      </c>
      <c r="C1" s="197"/>
      <c r="D1" s="13"/>
      <c r="E1" s="13"/>
      <c r="F1" s="13"/>
      <c r="G1" s="13"/>
      <c r="H1" s="13"/>
      <c r="I1" s="13"/>
      <c r="J1" s="13"/>
      <c r="K1" s="13"/>
      <c r="L1" s="13"/>
      <c r="M1" s="13"/>
      <c r="N1" s="119"/>
    </row>
    <row r="2" spans="1:16" ht="15" thickBot="1" x14ac:dyDescent="0.35">
      <c r="A2" s="21"/>
      <c r="B2" s="224" t="s">
        <v>1</v>
      </c>
      <c r="C2" s="6"/>
      <c r="D2" s="6"/>
      <c r="E2" s="13"/>
      <c r="F2" s="13"/>
      <c r="G2" s="13"/>
      <c r="H2" s="13"/>
      <c r="I2" s="13"/>
      <c r="J2" s="13"/>
      <c r="K2" s="13"/>
      <c r="L2" s="13"/>
      <c r="M2" s="13"/>
      <c r="N2" s="119"/>
    </row>
    <row r="3" spans="1:16" ht="15" thickBot="1" x14ac:dyDescent="0.35">
      <c r="A3" s="223"/>
      <c r="B3" s="225"/>
      <c r="C3" s="226"/>
      <c r="D3" s="113"/>
      <c r="E3" s="198">
        <v>1</v>
      </c>
      <c r="F3" s="198">
        <v>2</v>
      </c>
      <c r="G3" s="199">
        <v>3</v>
      </c>
      <c r="H3" s="199">
        <v>4</v>
      </c>
      <c r="I3" s="200">
        <v>5</v>
      </c>
      <c r="J3" s="200">
        <v>6</v>
      </c>
      <c r="K3" s="200">
        <v>7</v>
      </c>
      <c r="L3" s="200">
        <v>8</v>
      </c>
      <c r="M3" s="200">
        <v>9</v>
      </c>
      <c r="N3" s="200">
        <v>10</v>
      </c>
      <c r="O3" s="200">
        <v>11</v>
      </c>
      <c r="P3" s="201">
        <v>12</v>
      </c>
    </row>
    <row r="4" spans="1:16" x14ac:dyDescent="0.3">
      <c r="A4" s="228"/>
      <c r="B4" s="206" t="s">
        <v>68</v>
      </c>
      <c r="C4" s="231"/>
      <c r="D4" s="232"/>
      <c r="E4" s="202"/>
      <c r="F4" s="241"/>
      <c r="G4" s="178"/>
      <c r="H4" s="178">
        <f>693368+19700+1400+11646+19500</f>
        <v>745614</v>
      </c>
      <c r="I4" s="203">
        <f>703562+19700+1400+11646+19500</f>
        <v>755808</v>
      </c>
      <c r="J4" s="203">
        <f>708562+19700+1400+11646+19500</f>
        <v>760808</v>
      </c>
      <c r="K4" s="203">
        <f>713562+19700+1400+11646+19500</f>
        <v>765808</v>
      </c>
      <c r="L4" s="203">
        <f>718562+19700+1400+11646+19500</f>
        <v>770808</v>
      </c>
      <c r="M4" s="203">
        <f>723562+19700+1400+11646+19500</f>
        <v>775808</v>
      </c>
      <c r="N4" s="203">
        <f>728562+19700+1400+11646+19500</f>
        <v>780808</v>
      </c>
      <c r="O4" s="203">
        <f>733562+19700+1400+11646+19500</f>
        <v>785808</v>
      </c>
      <c r="P4" s="204">
        <f>738562+19700+1400+11646+19500</f>
        <v>790808</v>
      </c>
    </row>
    <row r="5" spans="1:16" x14ac:dyDescent="0.3">
      <c r="A5" s="228"/>
      <c r="B5" s="206" t="s">
        <v>69</v>
      </c>
      <c r="C5" s="10"/>
      <c r="D5" s="233"/>
      <c r="E5" s="205"/>
      <c r="F5" s="242"/>
      <c r="G5" s="206"/>
      <c r="H5" s="206"/>
      <c r="I5" s="207"/>
      <c r="J5" s="207"/>
      <c r="K5" s="207"/>
      <c r="L5" s="207"/>
      <c r="M5" s="207"/>
      <c r="N5" s="207"/>
      <c r="O5" s="207"/>
      <c r="P5" s="208"/>
    </row>
    <row r="6" spans="1:16" x14ac:dyDescent="0.3">
      <c r="A6" s="228"/>
      <c r="B6" s="206" t="s">
        <v>70</v>
      </c>
      <c r="C6" s="10"/>
      <c r="D6" s="233"/>
      <c r="E6" s="205"/>
      <c r="F6" s="242"/>
      <c r="G6" s="206" t="s">
        <v>19</v>
      </c>
      <c r="H6" s="206" t="s">
        <v>19</v>
      </c>
      <c r="I6" s="207" t="s">
        <v>19</v>
      </c>
      <c r="J6" s="207"/>
      <c r="K6" s="207" t="s">
        <v>19</v>
      </c>
      <c r="L6" s="207"/>
      <c r="M6" s="207"/>
      <c r="N6" s="207" t="s">
        <v>19</v>
      </c>
      <c r="O6" s="207"/>
      <c r="P6" s="208" t="s">
        <v>19</v>
      </c>
    </row>
    <row r="7" spans="1:16" x14ac:dyDescent="0.3">
      <c r="A7" s="228"/>
      <c r="B7" s="206" t="s">
        <v>10</v>
      </c>
      <c r="C7" s="10"/>
      <c r="D7" s="233"/>
      <c r="E7" s="205"/>
      <c r="F7" s="242"/>
      <c r="G7" s="206"/>
      <c r="H7" s="206"/>
      <c r="I7" s="207"/>
      <c r="J7" s="207"/>
      <c r="K7" s="207"/>
      <c r="L7" s="207"/>
      <c r="M7" s="207"/>
      <c r="N7" s="207"/>
      <c r="O7" s="207"/>
      <c r="P7" s="208"/>
    </row>
    <row r="8" spans="1:16" ht="18" x14ac:dyDescent="0.3">
      <c r="A8" s="229" t="s">
        <v>5</v>
      </c>
      <c r="B8" s="206" t="s">
        <v>71</v>
      </c>
      <c r="C8" s="10"/>
      <c r="D8" s="233"/>
      <c r="E8" s="205"/>
      <c r="F8" s="242"/>
      <c r="G8" s="206"/>
      <c r="H8" s="206"/>
      <c r="I8" s="207"/>
      <c r="J8" s="207"/>
      <c r="K8" s="207"/>
      <c r="L8" s="207"/>
      <c r="M8" s="207"/>
      <c r="N8" s="207"/>
      <c r="O8" s="207"/>
      <c r="P8" s="208"/>
    </row>
    <row r="9" spans="1:16" ht="18" x14ac:dyDescent="0.3">
      <c r="A9" s="229"/>
      <c r="B9" s="237" t="s">
        <v>41</v>
      </c>
      <c r="C9" s="10"/>
      <c r="D9" s="233"/>
      <c r="E9" s="205"/>
      <c r="F9" s="242"/>
      <c r="G9" s="206"/>
      <c r="H9" s="206"/>
      <c r="I9" s="207"/>
      <c r="J9" s="207"/>
      <c r="K9" s="207"/>
      <c r="L9" s="207"/>
      <c r="M9" s="207"/>
      <c r="N9" s="207"/>
      <c r="O9" s="207"/>
      <c r="P9" s="208"/>
    </row>
    <row r="10" spans="1:16" ht="18" x14ac:dyDescent="0.3">
      <c r="A10" s="229"/>
      <c r="B10" s="238" t="s">
        <v>72</v>
      </c>
      <c r="C10" s="10"/>
      <c r="D10" s="233"/>
      <c r="E10" s="205"/>
      <c r="F10" s="242"/>
      <c r="G10" s="206"/>
      <c r="H10" s="206"/>
      <c r="I10" s="207"/>
      <c r="J10" s="207"/>
      <c r="K10" s="207"/>
      <c r="L10" s="207"/>
      <c r="M10" s="207"/>
      <c r="N10" s="207"/>
      <c r="O10" s="207"/>
      <c r="P10" s="208"/>
    </row>
    <row r="11" spans="1:16" ht="15" thickBot="1" x14ac:dyDescent="0.35">
      <c r="A11" s="236"/>
      <c r="B11" s="238" t="s">
        <v>73</v>
      </c>
      <c r="C11" s="33"/>
      <c r="D11" s="235"/>
      <c r="E11" s="209"/>
      <c r="F11" s="243"/>
      <c r="G11" s="211"/>
      <c r="H11" s="211"/>
      <c r="I11" s="212"/>
      <c r="J11" s="212"/>
      <c r="K11" s="212"/>
      <c r="L11" s="212"/>
      <c r="M11" s="212"/>
      <c r="N11" s="212"/>
      <c r="O11" s="212"/>
      <c r="P11" s="213"/>
    </row>
    <row r="12" spans="1:16" x14ac:dyDescent="0.3">
      <c r="A12" s="227"/>
      <c r="B12" s="206" t="s">
        <v>74</v>
      </c>
      <c r="C12" s="231"/>
      <c r="D12" s="232"/>
      <c r="E12" s="244"/>
      <c r="F12" s="214"/>
      <c r="G12" s="214">
        <f>652991+19700+1400+11646+19500</f>
        <v>705237</v>
      </c>
      <c r="H12" s="214">
        <f>669397+19700+1400+11646+19500</f>
        <v>721643</v>
      </c>
      <c r="I12" s="215">
        <f>675745+19700+1400+11646+19500</f>
        <v>727991</v>
      </c>
      <c r="J12" s="215">
        <f>680745+19700+1400+11646+19500</f>
        <v>732991</v>
      </c>
      <c r="K12" s="215">
        <f>685745+19700+1400+11646+19500</f>
        <v>737991</v>
      </c>
      <c r="L12" s="215">
        <f>690745+19700+1400+11646+19500</f>
        <v>742991</v>
      </c>
      <c r="M12" s="215">
        <f>695745+19700+1400+11646+19500</f>
        <v>747991</v>
      </c>
      <c r="N12" s="215">
        <f>700745+19700+1400+11646+19500</f>
        <v>752991</v>
      </c>
      <c r="O12" s="215">
        <f>705745+19700+1400+11646+19500</f>
        <v>757991</v>
      </c>
      <c r="P12" s="216">
        <f>710745+19700+1400+11646+19500</f>
        <v>762991</v>
      </c>
    </row>
    <row r="13" spans="1:16" x14ac:dyDescent="0.3">
      <c r="A13" s="228"/>
      <c r="B13" s="206" t="s">
        <v>75</v>
      </c>
      <c r="C13" s="10"/>
      <c r="D13" s="233"/>
      <c r="E13" s="245"/>
      <c r="F13" s="206"/>
      <c r="G13" s="206"/>
      <c r="H13" s="206"/>
      <c r="I13" s="207"/>
      <c r="J13" s="207"/>
      <c r="K13" s="207"/>
      <c r="L13" s="207"/>
      <c r="M13" s="207"/>
      <c r="N13" s="207"/>
      <c r="O13" s="207"/>
      <c r="P13" s="208"/>
    </row>
    <row r="14" spans="1:16" x14ac:dyDescent="0.3">
      <c r="A14" s="228"/>
      <c r="B14" s="206" t="s">
        <v>76</v>
      </c>
      <c r="C14" s="10"/>
      <c r="D14" s="233"/>
      <c r="E14" s="245"/>
      <c r="F14" s="206" t="s">
        <v>19</v>
      </c>
      <c r="G14" s="206" t="s">
        <v>19</v>
      </c>
      <c r="H14" s="206" t="s">
        <v>19</v>
      </c>
      <c r="I14" s="207" t="s">
        <v>19</v>
      </c>
      <c r="J14" s="207"/>
      <c r="K14" s="207" t="s">
        <v>19</v>
      </c>
      <c r="L14" s="207"/>
      <c r="M14" s="207"/>
      <c r="N14" s="207" t="s">
        <v>19</v>
      </c>
      <c r="O14" s="207"/>
      <c r="P14" s="208" t="s">
        <v>19</v>
      </c>
    </row>
    <row r="15" spans="1:16" x14ac:dyDescent="0.3">
      <c r="A15" s="228"/>
      <c r="B15" s="206" t="s">
        <v>77</v>
      </c>
      <c r="C15" s="10"/>
      <c r="D15" s="233"/>
      <c r="E15" s="245"/>
      <c r="F15" s="206"/>
      <c r="G15" s="206"/>
      <c r="H15" s="206"/>
      <c r="I15" s="207"/>
      <c r="J15" s="207"/>
      <c r="K15" s="207"/>
      <c r="L15" s="207"/>
      <c r="M15" s="207"/>
      <c r="N15" s="207"/>
      <c r="O15" s="207"/>
      <c r="P15" s="208"/>
    </row>
    <row r="16" spans="1:16" x14ac:dyDescent="0.3">
      <c r="A16" s="228"/>
      <c r="B16" s="206" t="s">
        <v>78</v>
      </c>
      <c r="C16" s="10"/>
      <c r="D16" s="233"/>
      <c r="E16" s="245"/>
      <c r="F16" s="206"/>
      <c r="G16" s="206"/>
      <c r="H16" s="206"/>
      <c r="I16" s="207"/>
      <c r="J16" s="207"/>
      <c r="K16" s="207"/>
      <c r="L16" s="207"/>
      <c r="M16" s="207"/>
      <c r="N16" s="207"/>
      <c r="O16" s="207"/>
      <c r="P16" s="208"/>
    </row>
    <row r="17" spans="1:16" ht="57.6" x14ac:dyDescent="0.3">
      <c r="A17" s="229" t="s">
        <v>13</v>
      </c>
      <c r="B17" s="234" t="s">
        <v>79</v>
      </c>
      <c r="C17" s="10"/>
      <c r="D17" s="233"/>
      <c r="E17" s="245"/>
      <c r="F17" s="206"/>
      <c r="G17" s="206"/>
      <c r="H17" s="206"/>
      <c r="I17" s="207"/>
      <c r="J17" s="207"/>
      <c r="K17" s="207"/>
      <c r="L17" s="207"/>
      <c r="M17" s="207"/>
      <c r="N17" s="207"/>
      <c r="O17" s="207"/>
      <c r="P17" s="208"/>
    </row>
    <row r="18" spans="1:16" x14ac:dyDescent="0.3">
      <c r="A18" s="228"/>
      <c r="B18" s="206" t="s">
        <v>80</v>
      </c>
      <c r="C18" s="10"/>
      <c r="D18" s="233"/>
      <c r="E18" s="245"/>
      <c r="F18" s="206"/>
      <c r="G18" s="206"/>
      <c r="H18" s="206"/>
      <c r="I18" s="207"/>
      <c r="J18" s="207"/>
      <c r="K18" s="207"/>
      <c r="L18" s="207"/>
      <c r="M18" s="207"/>
      <c r="N18" s="207"/>
      <c r="O18" s="207"/>
      <c r="P18" s="208"/>
    </row>
    <row r="19" spans="1:16" x14ac:dyDescent="0.3">
      <c r="A19" s="228"/>
      <c r="B19" s="206" t="s">
        <v>81</v>
      </c>
      <c r="C19" s="10"/>
      <c r="D19" s="233"/>
      <c r="E19" s="245"/>
      <c r="F19" s="206"/>
      <c r="G19" s="206"/>
      <c r="H19" s="206"/>
      <c r="I19" s="207"/>
      <c r="J19" s="207"/>
      <c r="K19" s="207"/>
      <c r="L19" s="207"/>
      <c r="M19" s="207"/>
      <c r="N19" s="207"/>
      <c r="O19" s="207"/>
      <c r="P19" s="208"/>
    </row>
    <row r="20" spans="1:16" ht="15" thickBot="1" x14ac:dyDescent="0.35">
      <c r="A20" s="230"/>
      <c r="B20" s="206" t="s">
        <v>24</v>
      </c>
      <c r="C20" s="33"/>
      <c r="D20" s="235"/>
      <c r="E20" s="246"/>
      <c r="F20" s="211"/>
      <c r="G20" s="211"/>
      <c r="H20" s="211"/>
      <c r="I20" s="212"/>
      <c r="J20" s="212"/>
      <c r="K20" s="212"/>
      <c r="L20" s="212"/>
      <c r="M20" s="212"/>
      <c r="N20" s="212"/>
      <c r="O20" s="212"/>
      <c r="P20" s="213"/>
    </row>
    <row r="21" spans="1:16" x14ac:dyDescent="0.3">
      <c r="A21" s="227"/>
      <c r="B21" s="206" t="s">
        <v>82</v>
      </c>
      <c r="C21" s="231"/>
      <c r="D21" s="232"/>
      <c r="E21" s="244"/>
      <c r="F21" s="214"/>
      <c r="G21" s="215">
        <f>637230+19700+1400+11646+19500</f>
        <v>689476</v>
      </c>
      <c r="H21" s="215">
        <f>653174+19700+1400+11646+19500</f>
        <v>705420</v>
      </c>
      <c r="I21" s="215">
        <f>656978+19700+1400+11646+19500</f>
        <v>709224</v>
      </c>
      <c r="J21" s="215">
        <f>661978+19700+1400+11646+19500</f>
        <v>714224</v>
      </c>
      <c r="K21" s="215">
        <f>666978+19700+1400+11646+19500</f>
        <v>719224</v>
      </c>
      <c r="L21" s="215">
        <f>671978+19700+1400+11646+19500</f>
        <v>724224</v>
      </c>
      <c r="M21" s="215">
        <f>676978+19700+1400+11646+19500</f>
        <v>729224</v>
      </c>
      <c r="N21" s="215">
        <f>681978+19700+1400+11646+19500</f>
        <v>734224</v>
      </c>
      <c r="O21" s="215">
        <f>686978+19700+1400+11646+19500</f>
        <v>739224</v>
      </c>
      <c r="P21" s="216">
        <f>691978+19700+1400+11646+19500</f>
        <v>744224</v>
      </c>
    </row>
    <row r="22" spans="1:16" x14ac:dyDescent="0.3">
      <c r="A22" s="228"/>
      <c r="B22" s="206" t="s">
        <v>83</v>
      </c>
      <c r="C22" s="10"/>
      <c r="D22" s="233"/>
      <c r="E22" s="245"/>
      <c r="F22" s="206"/>
      <c r="G22" s="207"/>
      <c r="H22" s="207"/>
      <c r="I22" s="207"/>
      <c r="J22" s="207"/>
      <c r="K22" s="207"/>
      <c r="L22" s="207"/>
      <c r="M22" s="207"/>
      <c r="N22" s="207"/>
      <c r="O22" s="207"/>
      <c r="P22" s="208"/>
    </row>
    <row r="23" spans="1:16" x14ac:dyDescent="0.3">
      <c r="A23" s="228"/>
      <c r="B23" s="206" t="s">
        <v>84</v>
      </c>
      <c r="C23" s="10"/>
      <c r="D23" s="233"/>
      <c r="E23" s="245"/>
      <c r="F23" s="206" t="s">
        <v>19</v>
      </c>
      <c r="G23" s="207" t="s">
        <v>19</v>
      </c>
      <c r="H23" s="207" t="s">
        <v>19</v>
      </c>
      <c r="I23" s="207" t="s">
        <v>19</v>
      </c>
      <c r="J23" s="207"/>
      <c r="K23" s="207" t="s">
        <v>19</v>
      </c>
      <c r="L23" s="207"/>
      <c r="M23" s="207"/>
      <c r="N23" s="207" t="s">
        <v>19</v>
      </c>
      <c r="O23" s="207"/>
      <c r="P23" s="208" t="s">
        <v>19</v>
      </c>
    </row>
    <row r="24" spans="1:16" x14ac:dyDescent="0.3">
      <c r="A24" s="228"/>
      <c r="B24" s="206" t="s">
        <v>85</v>
      </c>
      <c r="C24" s="10"/>
      <c r="D24" s="233"/>
      <c r="E24" s="245"/>
      <c r="F24" s="206"/>
      <c r="G24" s="207"/>
      <c r="H24" s="207"/>
      <c r="I24" s="207"/>
      <c r="J24" s="207"/>
      <c r="K24" s="207"/>
      <c r="L24" s="207"/>
      <c r="M24" s="207"/>
      <c r="N24" s="207"/>
      <c r="O24" s="207"/>
      <c r="P24" s="208"/>
    </row>
    <row r="25" spans="1:16" ht="18" x14ac:dyDescent="0.3">
      <c r="A25" s="229" t="s">
        <v>26</v>
      </c>
      <c r="B25" s="206" t="s">
        <v>31</v>
      </c>
      <c r="C25" s="10"/>
      <c r="D25" s="233"/>
      <c r="E25" s="245"/>
      <c r="F25" s="206"/>
      <c r="G25" s="207"/>
      <c r="H25" s="207"/>
      <c r="I25" s="207"/>
      <c r="J25" s="207"/>
      <c r="K25" s="207"/>
      <c r="L25" s="207"/>
      <c r="M25" s="207"/>
      <c r="N25" s="207"/>
      <c r="O25" s="207"/>
      <c r="P25" s="208"/>
    </row>
    <row r="26" spans="1:16" x14ac:dyDescent="0.3">
      <c r="A26" s="228"/>
      <c r="B26" s="206" t="s">
        <v>86</v>
      </c>
      <c r="C26" s="10"/>
      <c r="D26" s="233"/>
      <c r="E26" s="245"/>
      <c r="F26" s="206"/>
      <c r="G26" s="207"/>
      <c r="H26" s="207"/>
      <c r="I26" s="207"/>
      <c r="J26" s="207"/>
      <c r="K26" s="207"/>
      <c r="L26" s="207"/>
      <c r="M26" s="207"/>
      <c r="N26" s="207"/>
      <c r="O26" s="207"/>
      <c r="P26" s="208"/>
    </row>
    <row r="27" spans="1:16" x14ac:dyDescent="0.3">
      <c r="A27" s="228"/>
      <c r="B27" s="206" t="s">
        <v>87</v>
      </c>
      <c r="C27" s="10"/>
      <c r="D27" s="233"/>
      <c r="E27" s="245"/>
      <c r="F27" s="206"/>
      <c r="G27" s="207"/>
      <c r="H27" s="207"/>
      <c r="I27" s="207"/>
      <c r="J27" s="207"/>
      <c r="K27" s="207"/>
      <c r="L27" s="207"/>
      <c r="M27" s="207"/>
      <c r="N27" s="207"/>
      <c r="O27" s="207"/>
      <c r="P27" s="208"/>
    </row>
    <row r="28" spans="1:16" ht="15" thickBot="1" x14ac:dyDescent="0.35">
      <c r="A28" s="230"/>
      <c r="B28" s="206" t="s">
        <v>88</v>
      </c>
      <c r="C28" s="33"/>
      <c r="D28" s="235"/>
      <c r="E28" s="246"/>
      <c r="F28" s="211"/>
      <c r="G28" s="212"/>
      <c r="H28" s="212"/>
      <c r="I28" s="212"/>
      <c r="J28" s="212"/>
      <c r="K28" s="212"/>
      <c r="L28" s="212"/>
      <c r="M28" s="212"/>
      <c r="N28" s="212"/>
      <c r="O28" s="212"/>
      <c r="P28" s="213"/>
    </row>
    <row r="29" spans="1:16" x14ac:dyDescent="0.3">
      <c r="A29" s="227"/>
      <c r="B29" s="206" t="s">
        <v>89</v>
      </c>
      <c r="C29" s="231"/>
      <c r="D29" s="232"/>
      <c r="E29" s="217"/>
      <c r="F29" s="247"/>
      <c r="G29" s="178"/>
      <c r="H29" s="178">
        <f>576064+19700+1400+11646+19500</f>
        <v>628310</v>
      </c>
      <c r="I29" s="203">
        <f>584551+19700+1400+11646+19500</f>
        <v>636797</v>
      </c>
      <c r="J29" s="203">
        <f>589551+19700+1400+11646+19500</f>
        <v>641797</v>
      </c>
      <c r="K29" s="203">
        <f>594551+19700+1400+11646+19500</f>
        <v>646797</v>
      </c>
      <c r="L29" s="203">
        <f>599551+19700+1400+11646+19500</f>
        <v>651797</v>
      </c>
      <c r="M29" s="203">
        <f>604551+19700+1400+11646+19500</f>
        <v>656797</v>
      </c>
      <c r="N29" s="203">
        <f>609551+19700+1400+11646+19500</f>
        <v>661797</v>
      </c>
      <c r="O29" s="218"/>
      <c r="P29" s="219"/>
    </row>
    <row r="30" spans="1:16" ht="18.600000000000001" thickBot="1" x14ac:dyDescent="0.35">
      <c r="A30" s="239" t="s">
        <v>36</v>
      </c>
      <c r="B30" s="206" t="s">
        <v>90</v>
      </c>
      <c r="C30" s="33"/>
      <c r="D30" s="235"/>
      <c r="E30" s="210"/>
      <c r="F30" s="246"/>
      <c r="G30" s="211"/>
      <c r="H30" s="211"/>
      <c r="I30" s="212"/>
      <c r="J30" s="212"/>
      <c r="K30" s="212"/>
      <c r="L30" s="212"/>
      <c r="M30" s="212"/>
      <c r="N30" s="212"/>
      <c r="O30" s="212"/>
      <c r="P30" s="213"/>
    </row>
    <row r="31" spans="1:16" x14ac:dyDescent="0.3">
      <c r="F31" s="248"/>
    </row>
    <row r="32" spans="1:16" x14ac:dyDescent="0.3">
      <c r="B32" s="220" t="s">
        <v>98</v>
      </c>
      <c r="C32" s="220"/>
      <c r="D32" s="220"/>
      <c r="E32" s="220"/>
      <c r="F32" s="220"/>
      <c r="G32" s="220"/>
      <c r="H32" s="221"/>
      <c r="I32" s="221"/>
      <c r="J32" s="221"/>
      <c r="K32" s="221"/>
      <c r="L32" s="221"/>
    </row>
    <row r="33" spans="2:12" x14ac:dyDescent="0.3">
      <c r="B33" s="220" t="s">
        <v>42</v>
      </c>
      <c r="C33" s="220"/>
      <c r="D33" s="220"/>
      <c r="E33" s="220"/>
      <c r="F33" s="220"/>
      <c r="G33" s="220"/>
      <c r="H33" s="222"/>
      <c r="I33" s="222"/>
      <c r="J33" s="222"/>
      <c r="K33" s="222"/>
      <c r="L33" s="222"/>
    </row>
    <row r="34" spans="2:12" x14ac:dyDescent="0.3">
      <c r="B34" s="220" t="s">
        <v>43</v>
      </c>
      <c r="C34" s="220"/>
      <c r="D34" s="220"/>
      <c r="E34" s="220"/>
      <c r="F34" s="220"/>
      <c r="G34" s="220"/>
      <c r="H34" s="222"/>
      <c r="I34" s="222"/>
      <c r="J34" s="222"/>
      <c r="K34" s="222"/>
      <c r="L34" s="222"/>
    </row>
    <row r="35" spans="2:12" x14ac:dyDescent="0.3">
      <c r="B35" s="220" t="s">
        <v>91</v>
      </c>
      <c r="C35" s="220"/>
      <c r="D35" s="220"/>
      <c r="E35" s="220"/>
      <c r="F35" s="220"/>
      <c r="G35" s="220"/>
      <c r="H35" s="222"/>
      <c r="I35" s="222"/>
      <c r="J35" s="222"/>
      <c r="K35" s="222"/>
      <c r="L35" s="222"/>
    </row>
    <row r="36" spans="2:12" x14ac:dyDescent="0.3">
      <c r="B36" s="220" t="s">
        <v>45</v>
      </c>
      <c r="C36" s="220"/>
      <c r="D36" s="220"/>
      <c r="E36" s="220"/>
      <c r="F36" s="220"/>
      <c r="G36" s="220"/>
      <c r="H36" s="222"/>
      <c r="I36" s="222"/>
      <c r="J36" s="222"/>
      <c r="K36" s="222"/>
      <c r="L36" s="222"/>
    </row>
    <row r="37" spans="2:12" x14ac:dyDescent="0.3">
      <c r="B37" s="220" t="s">
        <v>47</v>
      </c>
      <c r="C37" s="220"/>
      <c r="D37" s="220"/>
      <c r="E37" s="220"/>
      <c r="F37" s="220"/>
      <c r="G37" s="220"/>
      <c r="H37" s="222"/>
      <c r="I37" s="222"/>
      <c r="J37" s="222"/>
      <c r="K37" s="222"/>
      <c r="L37" s="222"/>
    </row>
    <row r="38" spans="2:12" x14ac:dyDescent="0.3">
      <c r="B38" s="220" t="s">
        <v>46</v>
      </c>
      <c r="C38" s="220"/>
      <c r="D38" s="220"/>
      <c r="E38" s="220"/>
      <c r="F38" s="220"/>
      <c r="G38" s="220"/>
      <c r="H38" s="221"/>
      <c r="I38" s="221"/>
      <c r="J38" s="221"/>
      <c r="K38" s="221"/>
      <c r="L38" s="221"/>
    </row>
    <row r="39" spans="2:12" x14ac:dyDescent="0.3">
      <c r="B39" s="220" t="s">
        <v>48</v>
      </c>
      <c r="C39" s="220"/>
      <c r="D39" s="220"/>
      <c r="E39" s="220"/>
      <c r="F39" s="220"/>
      <c r="G39" s="220"/>
      <c r="H39" s="221"/>
      <c r="I39" s="221"/>
      <c r="J39" s="221"/>
      <c r="K39" s="221"/>
      <c r="L39" s="221"/>
    </row>
    <row r="40" spans="2:12" x14ac:dyDescent="0.3">
      <c r="B40" s="220" t="s">
        <v>64</v>
      </c>
      <c r="C40" s="220"/>
      <c r="D40" s="220"/>
      <c r="E40" s="220"/>
      <c r="F40" s="220"/>
      <c r="G40" s="220"/>
      <c r="H40" s="221"/>
      <c r="I40" s="221"/>
      <c r="J40" s="221"/>
      <c r="K40" s="221"/>
      <c r="L40" s="221"/>
    </row>
    <row r="41" spans="2:12" x14ac:dyDescent="0.3">
      <c r="B41" s="220" t="s">
        <v>65</v>
      </c>
      <c r="C41" s="220"/>
      <c r="D41" s="220"/>
      <c r="E41" s="220"/>
      <c r="F41" s="220"/>
      <c r="G41" s="220"/>
      <c r="H41" s="221"/>
      <c r="I41" s="221"/>
      <c r="J41" s="221"/>
      <c r="K41" s="221"/>
      <c r="L41" s="221"/>
    </row>
    <row r="42" spans="2:12" x14ac:dyDescent="0.3">
      <c r="C42" s="220"/>
      <c r="D42" s="220"/>
      <c r="E42" s="220"/>
      <c r="F42" s="220"/>
      <c r="G42" s="220"/>
      <c r="H42" s="222"/>
      <c r="I42" s="222"/>
      <c r="J42" s="222"/>
      <c r="K42" s="222"/>
      <c r="L42" s="222"/>
    </row>
    <row r="43" spans="2:12" x14ac:dyDescent="0.3">
      <c r="B43" s="220" t="s">
        <v>39</v>
      </c>
      <c r="C43" s="220"/>
      <c r="D43" s="220"/>
      <c r="E43" s="220"/>
      <c r="F43" s="220"/>
      <c r="G43" s="220"/>
      <c r="H43" s="222"/>
      <c r="I43" s="222"/>
      <c r="J43" s="222"/>
      <c r="K43" s="222"/>
      <c r="L43" s="222"/>
    </row>
    <row r="44" spans="2:12" x14ac:dyDescent="0.3">
      <c r="B44" s="255" t="s">
        <v>92</v>
      </c>
      <c r="C44" s="256"/>
      <c r="D44" s="256"/>
      <c r="E44" s="256"/>
      <c r="F44" s="256"/>
      <c r="G44" s="256"/>
      <c r="H44" s="256"/>
      <c r="I44" s="256"/>
      <c r="J44" s="256"/>
      <c r="K44" s="256"/>
      <c r="L44" s="257"/>
    </row>
    <row r="47" spans="2:12" x14ac:dyDescent="0.3">
      <c r="B47" t="s">
        <v>93</v>
      </c>
    </row>
    <row r="49" spans="2:5" x14ac:dyDescent="0.3">
      <c r="B49" s="248"/>
      <c r="C49" s="248"/>
      <c r="D49" s="248"/>
      <c r="E49" s="248"/>
    </row>
    <row r="50" spans="2:5" x14ac:dyDescent="0.3">
      <c r="B50" s="240" t="s">
        <v>94</v>
      </c>
      <c r="C50" s="240"/>
      <c r="D50" s="240"/>
      <c r="E50" s="240"/>
    </row>
    <row r="51" spans="2:5" x14ac:dyDescent="0.3">
      <c r="B51" t="s">
        <v>95</v>
      </c>
    </row>
    <row r="52" spans="2:5" x14ac:dyDescent="0.3">
      <c r="B52" t="s">
        <v>96</v>
      </c>
    </row>
    <row r="54" spans="2:5" x14ac:dyDescent="0.3">
      <c r="B54" t="s">
        <v>97</v>
      </c>
    </row>
  </sheetData>
  <mergeCells count="1">
    <mergeCell ref="B44:L44"/>
  </mergeCells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1"/>
  <sheetViews>
    <sheetView zoomScale="90" zoomScaleNormal="90" workbookViewId="0">
      <selection activeCell="G26" sqref="G26"/>
    </sheetView>
  </sheetViews>
  <sheetFormatPr baseColWidth="10" defaultRowHeight="14.4" x14ac:dyDescent="0.3"/>
  <cols>
    <col min="1" max="1" width="5.44140625" customWidth="1"/>
    <col min="2" max="2" width="22" customWidth="1"/>
    <col min="3" max="3" width="17" customWidth="1"/>
    <col min="4" max="5" width="13.5546875" customWidth="1"/>
    <col min="6" max="12" width="13.6640625" customWidth="1"/>
    <col min="13" max="13" width="12.5546875" customWidth="1"/>
    <col min="14" max="14" width="11.88671875" customWidth="1"/>
    <col min="257" max="257" width="5.44140625" customWidth="1"/>
    <col min="258" max="258" width="22" customWidth="1"/>
    <col min="259" max="259" width="17" customWidth="1"/>
    <col min="260" max="260" width="13.6640625" customWidth="1"/>
    <col min="261" max="261" width="15.88671875" customWidth="1"/>
    <col min="262" max="268" width="13.6640625" customWidth="1"/>
    <col min="269" max="269" width="12.5546875" customWidth="1"/>
    <col min="270" max="270" width="11.88671875" customWidth="1"/>
    <col min="513" max="513" width="5.44140625" customWidth="1"/>
    <col min="514" max="514" width="22" customWidth="1"/>
    <col min="515" max="515" width="17" customWidth="1"/>
    <col min="516" max="516" width="13.6640625" customWidth="1"/>
    <col min="517" max="517" width="15.88671875" customWidth="1"/>
    <col min="518" max="524" width="13.6640625" customWidth="1"/>
    <col min="525" max="525" width="12.5546875" customWidth="1"/>
    <col min="526" max="526" width="11.88671875" customWidth="1"/>
    <col min="769" max="769" width="5.44140625" customWidth="1"/>
    <col min="770" max="770" width="22" customWidth="1"/>
    <col min="771" max="771" width="17" customWidth="1"/>
    <col min="772" max="772" width="13.6640625" customWidth="1"/>
    <col min="773" max="773" width="15.88671875" customWidth="1"/>
    <col min="774" max="780" width="13.6640625" customWidth="1"/>
    <col min="781" max="781" width="12.5546875" customWidth="1"/>
    <col min="782" max="782" width="11.88671875" customWidth="1"/>
    <col min="1025" max="1025" width="5.44140625" customWidth="1"/>
    <col min="1026" max="1026" width="22" customWidth="1"/>
    <col min="1027" max="1027" width="17" customWidth="1"/>
    <col min="1028" max="1028" width="13.6640625" customWidth="1"/>
    <col min="1029" max="1029" width="15.88671875" customWidth="1"/>
    <col min="1030" max="1036" width="13.6640625" customWidth="1"/>
    <col min="1037" max="1037" width="12.5546875" customWidth="1"/>
    <col min="1038" max="1038" width="11.88671875" customWidth="1"/>
    <col min="1281" max="1281" width="5.44140625" customWidth="1"/>
    <col min="1282" max="1282" width="22" customWidth="1"/>
    <col min="1283" max="1283" width="17" customWidth="1"/>
    <col min="1284" max="1284" width="13.6640625" customWidth="1"/>
    <col min="1285" max="1285" width="15.88671875" customWidth="1"/>
    <col min="1286" max="1292" width="13.6640625" customWidth="1"/>
    <col min="1293" max="1293" width="12.5546875" customWidth="1"/>
    <col min="1294" max="1294" width="11.88671875" customWidth="1"/>
    <col min="1537" max="1537" width="5.44140625" customWidth="1"/>
    <col min="1538" max="1538" width="22" customWidth="1"/>
    <col min="1539" max="1539" width="17" customWidth="1"/>
    <col min="1540" max="1540" width="13.6640625" customWidth="1"/>
    <col min="1541" max="1541" width="15.88671875" customWidth="1"/>
    <col min="1542" max="1548" width="13.6640625" customWidth="1"/>
    <col min="1549" max="1549" width="12.5546875" customWidth="1"/>
    <col min="1550" max="1550" width="11.88671875" customWidth="1"/>
    <col min="1793" max="1793" width="5.44140625" customWidth="1"/>
    <col min="1794" max="1794" width="22" customWidth="1"/>
    <col min="1795" max="1795" width="17" customWidth="1"/>
    <col min="1796" max="1796" width="13.6640625" customWidth="1"/>
    <col min="1797" max="1797" width="15.88671875" customWidth="1"/>
    <col min="1798" max="1804" width="13.6640625" customWidth="1"/>
    <col min="1805" max="1805" width="12.5546875" customWidth="1"/>
    <col min="1806" max="1806" width="11.88671875" customWidth="1"/>
    <col min="2049" max="2049" width="5.44140625" customWidth="1"/>
    <col min="2050" max="2050" width="22" customWidth="1"/>
    <col min="2051" max="2051" width="17" customWidth="1"/>
    <col min="2052" max="2052" width="13.6640625" customWidth="1"/>
    <col min="2053" max="2053" width="15.88671875" customWidth="1"/>
    <col min="2054" max="2060" width="13.6640625" customWidth="1"/>
    <col min="2061" max="2061" width="12.5546875" customWidth="1"/>
    <col min="2062" max="2062" width="11.88671875" customWidth="1"/>
    <col min="2305" max="2305" width="5.44140625" customWidth="1"/>
    <col min="2306" max="2306" width="22" customWidth="1"/>
    <col min="2307" max="2307" width="17" customWidth="1"/>
    <col min="2308" max="2308" width="13.6640625" customWidth="1"/>
    <col min="2309" max="2309" width="15.88671875" customWidth="1"/>
    <col min="2310" max="2316" width="13.6640625" customWidth="1"/>
    <col min="2317" max="2317" width="12.5546875" customWidth="1"/>
    <col min="2318" max="2318" width="11.88671875" customWidth="1"/>
    <col min="2561" max="2561" width="5.44140625" customWidth="1"/>
    <col min="2562" max="2562" width="22" customWidth="1"/>
    <col min="2563" max="2563" width="17" customWidth="1"/>
    <col min="2564" max="2564" width="13.6640625" customWidth="1"/>
    <col min="2565" max="2565" width="15.88671875" customWidth="1"/>
    <col min="2566" max="2572" width="13.6640625" customWidth="1"/>
    <col min="2573" max="2573" width="12.5546875" customWidth="1"/>
    <col min="2574" max="2574" width="11.88671875" customWidth="1"/>
    <col min="2817" max="2817" width="5.44140625" customWidth="1"/>
    <col min="2818" max="2818" width="22" customWidth="1"/>
    <col min="2819" max="2819" width="17" customWidth="1"/>
    <col min="2820" max="2820" width="13.6640625" customWidth="1"/>
    <col min="2821" max="2821" width="15.88671875" customWidth="1"/>
    <col min="2822" max="2828" width="13.6640625" customWidth="1"/>
    <col min="2829" max="2829" width="12.5546875" customWidth="1"/>
    <col min="2830" max="2830" width="11.88671875" customWidth="1"/>
    <col min="3073" max="3073" width="5.44140625" customWidth="1"/>
    <col min="3074" max="3074" width="22" customWidth="1"/>
    <col min="3075" max="3075" width="17" customWidth="1"/>
    <col min="3076" max="3076" width="13.6640625" customWidth="1"/>
    <col min="3077" max="3077" width="15.88671875" customWidth="1"/>
    <col min="3078" max="3084" width="13.6640625" customWidth="1"/>
    <col min="3085" max="3085" width="12.5546875" customWidth="1"/>
    <col min="3086" max="3086" width="11.88671875" customWidth="1"/>
    <col min="3329" max="3329" width="5.44140625" customWidth="1"/>
    <col min="3330" max="3330" width="22" customWidth="1"/>
    <col min="3331" max="3331" width="17" customWidth="1"/>
    <col min="3332" max="3332" width="13.6640625" customWidth="1"/>
    <col min="3333" max="3333" width="15.88671875" customWidth="1"/>
    <col min="3334" max="3340" width="13.6640625" customWidth="1"/>
    <col min="3341" max="3341" width="12.5546875" customWidth="1"/>
    <col min="3342" max="3342" width="11.88671875" customWidth="1"/>
    <col min="3585" max="3585" width="5.44140625" customWidth="1"/>
    <col min="3586" max="3586" width="22" customWidth="1"/>
    <col min="3587" max="3587" width="17" customWidth="1"/>
    <col min="3588" max="3588" width="13.6640625" customWidth="1"/>
    <col min="3589" max="3589" width="15.88671875" customWidth="1"/>
    <col min="3590" max="3596" width="13.6640625" customWidth="1"/>
    <col min="3597" max="3597" width="12.5546875" customWidth="1"/>
    <col min="3598" max="3598" width="11.88671875" customWidth="1"/>
    <col min="3841" max="3841" width="5.44140625" customWidth="1"/>
    <col min="3842" max="3842" width="22" customWidth="1"/>
    <col min="3843" max="3843" width="17" customWidth="1"/>
    <col min="3844" max="3844" width="13.6640625" customWidth="1"/>
    <col min="3845" max="3845" width="15.88671875" customWidth="1"/>
    <col min="3846" max="3852" width="13.6640625" customWidth="1"/>
    <col min="3853" max="3853" width="12.5546875" customWidth="1"/>
    <col min="3854" max="3854" width="11.88671875" customWidth="1"/>
    <col min="4097" max="4097" width="5.44140625" customWidth="1"/>
    <col min="4098" max="4098" width="22" customWidth="1"/>
    <col min="4099" max="4099" width="17" customWidth="1"/>
    <col min="4100" max="4100" width="13.6640625" customWidth="1"/>
    <col min="4101" max="4101" width="15.88671875" customWidth="1"/>
    <col min="4102" max="4108" width="13.6640625" customWidth="1"/>
    <col min="4109" max="4109" width="12.5546875" customWidth="1"/>
    <col min="4110" max="4110" width="11.88671875" customWidth="1"/>
    <col min="4353" max="4353" width="5.44140625" customWidth="1"/>
    <col min="4354" max="4354" width="22" customWidth="1"/>
    <col min="4355" max="4355" width="17" customWidth="1"/>
    <col min="4356" max="4356" width="13.6640625" customWidth="1"/>
    <col min="4357" max="4357" width="15.88671875" customWidth="1"/>
    <col min="4358" max="4364" width="13.6640625" customWidth="1"/>
    <col min="4365" max="4365" width="12.5546875" customWidth="1"/>
    <col min="4366" max="4366" width="11.88671875" customWidth="1"/>
    <col min="4609" max="4609" width="5.44140625" customWidth="1"/>
    <col min="4610" max="4610" width="22" customWidth="1"/>
    <col min="4611" max="4611" width="17" customWidth="1"/>
    <col min="4612" max="4612" width="13.6640625" customWidth="1"/>
    <col min="4613" max="4613" width="15.88671875" customWidth="1"/>
    <col min="4614" max="4620" width="13.6640625" customWidth="1"/>
    <col min="4621" max="4621" width="12.5546875" customWidth="1"/>
    <col min="4622" max="4622" width="11.88671875" customWidth="1"/>
    <col min="4865" max="4865" width="5.44140625" customWidth="1"/>
    <col min="4866" max="4866" width="22" customWidth="1"/>
    <col min="4867" max="4867" width="17" customWidth="1"/>
    <col min="4868" max="4868" width="13.6640625" customWidth="1"/>
    <col min="4869" max="4869" width="15.88671875" customWidth="1"/>
    <col min="4870" max="4876" width="13.6640625" customWidth="1"/>
    <col min="4877" max="4877" width="12.5546875" customWidth="1"/>
    <col min="4878" max="4878" width="11.88671875" customWidth="1"/>
    <col min="5121" max="5121" width="5.44140625" customWidth="1"/>
    <col min="5122" max="5122" width="22" customWidth="1"/>
    <col min="5123" max="5123" width="17" customWidth="1"/>
    <col min="5124" max="5124" width="13.6640625" customWidth="1"/>
    <col min="5125" max="5125" width="15.88671875" customWidth="1"/>
    <col min="5126" max="5132" width="13.6640625" customWidth="1"/>
    <col min="5133" max="5133" width="12.5546875" customWidth="1"/>
    <col min="5134" max="5134" width="11.88671875" customWidth="1"/>
    <col min="5377" max="5377" width="5.44140625" customWidth="1"/>
    <col min="5378" max="5378" width="22" customWidth="1"/>
    <col min="5379" max="5379" width="17" customWidth="1"/>
    <col min="5380" max="5380" width="13.6640625" customWidth="1"/>
    <col min="5381" max="5381" width="15.88671875" customWidth="1"/>
    <col min="5382" max="5388" width="13.6640625" customWidth="1"/>
    <col min="5389" max="5389" width="12.5546875" customWidth="1"/>
    <col min="5390" max="5390" width="11.88671875" customWidth="1"/>
    <col min="5633" max="5633" width="5.44140625" customWidth="1"/>
    <col min="5634" max="5634" width="22" customWidth="1"/>
    <col min="5635" max="5635" width="17" customWidth="1"/>
    <col min="5636" max="5636" width="13.6640625" customWidth="1"/>
    <col min="5637" max="5637" width="15.88671875" customWidth="1"/>
    <col min="5638" max="5644" width="13.6640625" customWidth="1"/>
    <col min="5645" max="5645" width="12.5546875" customWidth="1"/>
    <col min="5646" max="5646" width="11.88671875" customWidth="1"/>
    <col min="5889" max="5889" width="5.44140625" customWidth="1"/>
    <col min="5890" max="5890" width="22" customWidth="1"/>
    <col min="5891" max="5891" width="17" customWidth="1"/>
    <col min="5892" max="5892" width="13.6640625" customWidth="1"/>
    <col min="5893" max="5893" width="15.88671875" customWidth="1"/>
    <col min="5894" max="5900" width="13.6640625" customWidth="1"/>
    <col min="5901" max="5901" width="12.5546875" customWidth="1"/>
    <col min="5902" max="5902" width="11.88671875" customWidth="1"/>
    <col min="6145" max="6145" width="5.44140625" customWidth="1"/>
    <col min="6146" max="6146" width="22" customWidth="1"/>
    <col min="6147" max="6147" width="17" customWidth="1"/>
    <col min="6148" max="6148" width="13.6640625" customWidth="1"/>
    <col min="6149" max="6149" width="15.88671875" customWidth="1"/>
    <col min="6150" max="6156" width="13.6640625" customWidth="1"/>
    <col min="6157" max="6157" width="12.5546875" customWidth="1"/>
    <col min="6158" max="6158" width="11.88671875" customWidth="1"/>
    <col min="6401" max="6401" width="5.44140625" customWidth="1"/>
    <col min="6402" max="6402" width="22" customWidth="1"/>
    <col min="6403" max="6403" width="17" customWidth="1"/>
    <col min="6404" max="6404" width="13.6640625" customWidth="1"/>
    <col min="6405" max="6405" width="15.88671875" customWidth="1"/>
    <col min="6406" max="6412" width="13.6640625" customWidth="1"/>
    <col min="6413" max="6413" width="12.5546875" customWidth="1"/>
    <col min="6414" max="6414" width="11.88671875" customWidth="1"/>
    <col min="6657" max="6657" width="5.44140625" customWidth="1"/>
    <col min="6658" max="6658" width="22" customWidth="1"/>
    <col min="6659" max="6659" width="17" customWidth="1"/>
    <col min="6660" max="6660" width="13.6640625" customWidth="1"/>
    <col min="6661" max="6661" width="15.88671875" customWidth="1"/>
    <col min="6662" max="6668" width="13.6640625" customWidth="1"/>
    <col min="6669" max="6669" width="12.5546875" customWidth="1"/>
    <col min="6670" max="6670" width="11.88671875" customWidth="1"/>
    <col min="6913" max="6913" width="5.44140625" customWidth="1"/>
    <col min="6914" max="6914" width="22" customWidth="1"/>
    <col min="6915" max="6915" width="17" customWidth="1"/>
    <col min="6916" max="6916" width="13.6640625" customWidth="1"/>
    <col min="6917" max="6917" width="15.88671875" customWidth="1"/>
    <col min="6918" max="6924" width="13.6640625" customWidth="1"/>
    <col min="6925" max="6925" width="12.5546875" customWidth="1"/>
    <col min="6926" max="6926" width="11.88671875" customWidth="1"/>
    <col min="7169" max="7169" width="5.44140625" customWidth="1"/>
    <col min="7170" max="7170" width="22" customWidth="1"/>
    <col min="7171" max="7171" width="17" customWidth="1"/>
    <col min="7172" max="7172" width="13.6640625" customWidth="1"/>
    <col min="7173" max="7173" width="15.88671875" customWidth="1"/>
    <col min="7174" max="7180" width="13.6640625" customWidth="1"/>
    <col min="7181" max="7181" width="12.5546875" customWidth="1"/>
    <col min="7182" max="7182" width="11.88671875" customWidth="1"/>
    <col min="7425" max="7425" width="5.44140625" customWidth="1"/>
    <col min="7426" max="7426" width="22" customWidth="1"/>
    <col min="7427" max="7427" width="17" customWidth="1"/>
    <col min="7428" max="7428" width="13.6640625" customWidth="1"/>
    <col min="7429" max="7429" width="15.88671875" customWidth="1"/>
    <col min="7430" max="7436" width="13.6640625" customWidth="1"/>
    <col min="7437" max="7437" width="12.5546875" customWidth="1"/>
    <col min="7438" max="7438" width="11.88671875" customWidth="1"/>
    <col min="7681" max="7681" width="5.44140625" customWidth="1"/>
    <col min="7682" max="7682" width="22" customWidth="1"/>
    <col min="7683" max="7683" width="17" customWidth="1"/>
    <col min="7684" max="7684" width="13.6640625" customWidth="1"/>
    <col min="7685" max="7685" width="15.88671875" customWidth="1"/>
    <col min="7686" max="7692" width="13.6640625" customWidth="1"/>
    <col min="7693" max="7693" width="12.5546875" customWidth="1"/>
    <col min="7694" max="7694" width="11.88671875" customWidth="1"/>
    <col min="7937" max="7937" width="5.44140625" customWidth="1"/>
    <col min="7938" max="7938" width="22" customWidth="1"/>
    <col min="7939" max="7939" width="17" customWidth="1"/>
    <col min="7940" max="7940" width="13.6640625" customWidth="1"/>
    <col min="7941" max="7941" width="15.88671875" customWidth="1"/>
    <col min="7942" max="7948" width="13.6640625" customWidth="1"/>
    <col min="7949" max="7949" width="12.5546875" customWidth="1"/>
    <col min="7950" max="7950" width="11.88671875" customWidth="1"/>
    <col min="8193" max="8193" width="5.44140625" customWidth="1"/>
    <col min="8194" max="8194" width="22" customWidth="1"/>
    <col min="8195" max="8195" width="17" customWidth="1"/>
    <col min="8196" max="8196" width="13.6640625" customWidth="1"/>
    <col min="8197" max="8197" width="15.88671875" customWidth="1"/>
    <col min="8198" max="8204" width="13.6640625" customWidth="1"/>
    <col min="8205" max="8205" width="12.5546875" customWidth="1"/>
    <col min="8206" max="8206" width="11.88671875" customWidth="1"/>
    <col min="8449" max="8449" width="5.44140625" customWidth="1"/>
    <col min="8450" max="8450" width="22" customWidth="1"/>
    <col min="8451" max="8451" width="17" customWidth="1"/>
    <col min="8452" max="8452" width="13.6640625" customWidth="1"/>
    <col min="8453" max="8453" width="15.88671875" customWidth="1"/>
    <col min="8454" max="8460" width="13.6640625" customWidth="1"/>
    <col min="8461" max="8461" width="12.5546875" customWidth="1"/>
    <col min="8462" max="8462" width="11.88671875" customWidth="1"/>
    <col min="8705" max="8705" width="5.44140625" customWidth="1"/>
    <col min="8706" max="8706" width="22" customWidth="1"/>
    <col min="8707" max="8707" width="17" customWidth="1"/>
    <col min="8708" max="8708" width="13.6640625" customWidth="1"/>
    <col min="8709" max="8709" width="15.88671875" customWidth="1"/>
    <col min="8710" max="8716" width="13.6640625" customWidth="1"/>
    <col min="8717" max="8717" width="12.5546875" customWidth="1"/>
    <col min="8718" max="8718" width="11.88671875" customWidth="1"/>
    <col min="8961" max="8961" width="5.44140625" customWidth="1"/>
    <col min="8962" max="8962" width="22" customWidth="1"/>
    <col min="8963" max="8963" width="17" customWidth="1"/>
    <col min="8964" max="8964" width="13.6640625" customWidth="1"/>
    <col min="8965" max="8965" width="15.88671875" customWidth="1"/>
    <col min="8966" max="8972" width="13.6640625" customWidth="1"/>
    <col min="8973" max="8973" width="12.5546875" customWidth="1"/>
    <col min="8974" max="8974" width="11.88671875" customWidth="1"/>
    <col min="9217" max="9217" width="5.44140625" customWidth="1"/>
    <col min="9218" max="9218" width="22" customWidth="1"/>
    <col min="9219" max="9219" width="17" customWidth="1"/>
    <col min="9220" max="9220" width="13.6640625" customWidth="1"/>
    <col min="9221" max="9221" width="15.88671875" customWidth="1"/>
    <col min="9222" max="9228" width="13.6640625" customWidth="1"/>
    <col min="9229" max="9229" width="12.5546875" customWidth="1"/>
    <col min="9230" max="9230" width="11.88671875" customWidth="1"/>
    <col min="9473" max="9473" width="5.44140625" customWidth="1"/>
    <col min="9474" max="9474" width="22" customWidth="1"/>
    <col min="9475" max="9475" width="17" customWidth="1"/>
    <col min="9476" max="9476" width="13.6640625" customWidth="1"/>
    <col min="9477" max="9477" width="15.88671875" customWidth="1"/>
    <col min="9478" max="9484" width="13.6640625" customWidth="1"/>
    <col min="9485" max="9485" width="12.5546875" customWidth="1"/>
    <col min="9486" max="9486" width="11.88671875" customWidth="1"/>
    <col min="9729" max="9729" width="5.44140625" customWidth="1"/>
    <col min="9730" max="9730" width="22" customWidth="1"/>
    <col min="9731" max="9731" width="17" customWidth="1"/>
    <col min="9732" max="9732" width="13.6640625" customWidth="1"/>
    <col min="9733" max="9733" width="15.88671875" customWidth="1"/>
    <col min="9734" max="9740" width="13.6640625" customWidth="1"/>
    <col min="9741" max="9741" width="12.5546875" customWidth="1"/>
    <col min="9742" max="9742" width="11.88671875" customWidth="1"/>
    <col min="9985" max="9985" width="5.44140625" customWidth="1"/>
    <col min="9986" max="9986" width="22" customWidth="1"/>
    <col min="9987" max="9987" width="17" customWidth="1"/>
    <col min="9988" max="9988" width="13.6640625" customWidth="1"/>
    <col min="9989" max="9989" width="15.88671875" customWidth="1"/>
    <col min="9990" max="9996" width="13.6640625" customWidth="1"/>
    <col min="9997" max="9997" width="12.5546875" customWidth="1"/>
    <col min="9998" max="9998" width="11.88671875" customWidth="1"/>
    <col min="10241" max="10241" width="5.44140625" customWidth="1"/>
    <col min="10242" max="10242" width="22" customWidth="1"/>
    <col min="10243" max="10243" width="17" customWidth="1"/>
    <col min="10244" max="10244" width="13.6640625" customWidth="1"/>
    <col min="10245" max="10245" width="15.88671875" customWidth="1"/>
    <col min="10246" max="10252" width="13.6640625" customWidth="1"/>
    <col min="10253" max="10253" width="12.5546875" customWidth="1"/>
    <col min="10254" max="10254" width="11.88671875" customWidth="1"/>
    <col min="10497" max="10497" width="5.44140625" customWidth="1"/>
    <col min="10498" max="10498" width="22" customWidth="1"/>
    <col min="10499" max="10499" width="17" customWidth="1"/>
    <col min="10500" max="10500" width="13.6640625" customWidth="1"/>
    <col min="10501" max="10501" width="15.88671875" customWidth="1"/>
    <col min="10502" max="10508" width="13.6640625" customWidth="1"/>
    <col min="10509" max="10509" width="12.5546875" customWidth="1"/>
    <col min="10510" max="10510" width="11.88671875" customWidth="1"/>
    <col min="10753" max="10753" width="5.44140625" customWidth="1"/>
    <col min="10754" max="10754" width="22" customWidth="1"/>
    <col min="10755" max="10755" width="17" customWidth="1"/>
    <col min="10756" max="10756" width="13.6640625" customWidth="1"/>
    <col min="10757" max="10757" width="15.88671875" customWidth="1"/>
    <col min="10758" max="10764" width="13.6640625" customWidth="1"/>
    <col min="10765" max="10765" width="12.5546875" customWidth="1"/>
    <col min="10766" max="10766" width="11.88671875" customWidth="1"/>
    <col min="11009" max="11009" width="5.44140625" customWidth="1"/>
    <col min="11010" max="11010" width="22" customWidth="1"/>
    <col min="11011" max="11011" width="17" customWidth="1"/>
    <col min="11012" max="11012" width="13.6640625" customWidth="1"/>
    <col min="11013" max="11013" width="15.88671875" customWidth="1"/>
    <col min="11014" max="11020" width="13.6640625" customWidth="1"/>
    <col min="11021" max="11021" width="12.5546875" customWidth="1"/>
    <col min="11022" max="11022" width="11.88671875" customWidth="1"/>
    <col min="11265" max="11265" width="5.44140625" customWidth="1"/>
    <col min="11266" max="11266" width="22" customWidth="1"/>
    <col min="11267" max="11267" width="17" customWidth="1"/>
    <col min="11268" max="11268" width="13.6640625" customWidth="1"/>
    <col min="11269" max="11269" width="15.88671875" customWidth="1"/>
    <col min="11270" max="11276" width="13.6640625" customWidth="1"/>
    <col min="11277" max="11277" width="12.5546875" customWidth="1"/>
    <col min="11278" max="11278" width="11.88671875" customWidth="1"/>
    <col min="11521" max="11521" width="5.44140625" customWidth="1"/>
    <col min="11522" max="11522" width="22" customWidth="1"/>
    <col min="11523" max="11523" width="17" customWidth="1"/>
    <col min="11524" max="11524" width="13.6640625" customWidth="1"/>
    <col min="11525" max="11525" width="15.88671875" customWidth="1"/>
    <col min="11526" max="11532" width="13.6640625" customWidth="1"/>
    <col min="11533" max="11533" width="12.5546875" customWidth="1"/>
    <col min="11534" max="11534" width="11.88671875" customWidth="1"/>
    <col min="11777" max="11777" width="5.44140625" customWidth="1"/>
    <col min="11778" max="11778" width="22" customWidth="1"/>
    <col min="11779" max="11779" width="17" customWidth="1"/>
    <col min="11780" max="11780" width="13.6640625" customWidth="1"/>
    <col min="11781" max="11781" width="15.88671875" customWidth="1"/>
    <col min="11782" max="11788" width="13.6640625" customWidth="1"/>
    <col min="11789" max="11789" width="12.5546875" customWidth="1"/>
    <col min="11790" max="11790" width="11.88671875" customWidth="1"/>
    <col min="12033" max="12033" width="5.44140625" customWidth="1"/>
    <col min="12034" max="12034" width="22" customWidth="1"/>
    <col min="12035" max="12035" width="17" customWidth="1"/>
    <col min="12036" max="12036" width="13.6640625" customWidth="1"/>
    <col min="12037" max="12037" width="15.88671875" customWidth="1"/>
    <col min="12038" max="12044" width="13.6640625" customWidth="1"/>
    <col min="12045" max="12045" width="12.5546875" customWidth="1"/>
    <col min="12046" max="12046" width="11.88671875" customWidth="1"/>
    <col min="12289" max="12289" width="5.44140625" customWidth="1"/>
    <col min="12290" max="12290" width="22" customWidth="1"/>
    <col min="12291" max="12291" width="17" customWidth="1"/>
    <col min="12292" max="12292" width="13.6640625" customWidth="1"/>
    <col min="12293" max="12293" width="15.88671875" customWidth="1"/>
    <col min="12294" max="12300" width="13.6640625" customWidth="1"/>
    <col min="12301" max="12301" width="12.5546875" customWidth="1"/>
    <col min="12302" max="12302" width="11.88671875" customWidth="1"/>
    <col min="12545" max="12545" width="5.44140625" customWidth="1"/>
    <col min="12546" max="12546" width="22" customWidth="1"/>
    <col min="12547" max="12547" width="17" customWidth="1"/>
    <col min="12548" max="12548" width="13.6640625" customWidth="1"/>
    <col min="12549" max="12549" width="15.88671875" customWidth="1"/>
    <col min="12550" max="12556" width="13.6640625" customWidth="1"/>
    <col min="12557" max="12557" width="12.5546875" customWidth="1"/>
    <col min="12558" max="12558" width="11.88671875" customWidth="1"/>
    <col min="12801" max="12801" width="5.44140625" customWidth="1"/>
    <col min="12802" max="12802" width="22" customWidth="1"/>
    <col min="12803" max="12803" width="17" customWidth="1"/>
    <col min="12804" max="12804" width="13.6640625" customWidth="1"/>
    <col min="12805" max="12805" width="15.88671875" customWidth="1"/>
    <col min="12806" max="12812" width="13.6640625" customWidth="1"/>
    <col min="12813" max="12813" width="12.5546875" customWidth="1"/>
    <col min="12814" max="12814" width="11.88671875" customWidth="1"/>
    <col min="13057" max="13057" width="5.44140625" customWidth="1"/>
    <col min="13058" max="13058" width="22" customWidth="1"/>
    <col min="13059" max="13059" width="17" customWidth="1"/>
    <col min="13060" max="13060" width="13.6640625" customWidth="1"/>
    <col min="13061" max="13061" width="15.88671875" customWidth="1"/>
    <col min="13062" max="13068" width="13.6640625" customWidth="1"/>
    <col min="13069" max="13069" width="12.5546875" customWidth="1"/>
    <col min="13070" max="13070" width="11.88671875" customWidth="1"/>
    <col min="13313" max="13313" width="5.44140625" customWidth="1"/>
    <col min="13314" max="13314" width="22" customWidth="1"/>
    <col min="13315" max="13315" width="17" customWidth="1"/>
    <col min="13316" max="13316" width="13.6640625" customWidth="1"/>
    <col min="13317" max="13317" width="15.88671875" customWidth="1"/>
    <col min="13318" max="13324" width="13.6640625" customWidth="1"/>
    <col min="13325" max="13325" width="12.5546875" customWidth="1"/>
    <col min="13326" max="13326" width="11.88671875" customWidth="1"/>
    <col min="13569" max="13569" width="5.44140625" customWidth="1"/>
    <col min="13570" max="13570" width="22" customWidth="1"/>
    <col min="13571" max="13571" width="17" customWidth="1"/>
    <col min="13572" max="13572" width="13.6640625" customWidth="1"/>
    <col min="13573" max="13573" width="15.88671875" customWidth="1"/>
    <col min="13574" max="13580" width="13.6640625" customWidth="1"/>
    <col min="13581" max="13581" width="12.5546875" customWidth="1"/>
    <col min="13582" max="13582" width="11.88671875" customWidth="1"/>
    <col min="13825" max="13825" width="5.44140625" customWidth="1"/>
    <col min="13826" max="13826" width="22" customWidth="1"/>
    <col min="13827" max="13827" width="17" customWidth="1"/>
    <col min="13828" max="13828" width="13.6640625" customWidth="1"/>
    <col min="13829" max="13829" width="15.88671875" customWidth="1"/>
    <col min="13830" max="13836" width="13.6640625" customWidth="1"/>
    <col min="13837" max="13837" width="12.5546875" customWidth="1"/>
    <col min="13838" max="13838" width="11.88671875" customWidth="1"/>
    <col min="14081" max="14081" width="5.44140625" customWidth="1"/>
    <col min="14082" max="14082" width="22" customWidth="1"/>
    <col min="14083" max="14083" width="17" customWidth="1"/>
    <col min="14084" max="14084" width="13.6640625" customWidth="1"/>
    <col min="14085" max="14085" width="15.88671875" customWidth="1"/>
    <col min="14086" max="14092" width="13.6640625" customWidth="1"/>
    <col min="14093" max="14093" width="12.5546875" customWidth="1"/>
    <col min="14094" max="14094" width="11.88671875" customWidth="1"/>
    <col min="14337" max="14337" width="5.44140625" customWidth="1"/>
    <col min="14338" max="14338" width="22" customWidth="1"/>
    <col min="14339" max="14339" width="17" customWidth="1"/>
    <col min="14340" max="14340" width="13.6640625" customWidth="1"/>
    <col min="14341" max="14341" width="15.88671875" customWidth="1"/>
    <col min="14342" max="14348" width="13.6640625" customWidth="1"/>
    <col min="14349" max="14349" width="12.5546875" customWidth="1"/>
    <col min="14350" max="14350" width="11.88671875" customWidth="1"/>
    <col min="14593" max="14593" width="5.44140625" customWidth="1"/>
    <col min="14594" max="14594" width="22" customWidth="1"/>
    <col min="14595" max="14595" width="17" customWidth="1"/>
    <col min="14596" max="14596" width="13.6640625" customWidth="1"/>
    <col min="14597" max="14597" width="15.88671875" customWidth="1"/>
    <col min="14598" max="14604" width="13.6640625" customWidth="1"/>
    <col min="14605" max="14605" width="12.5546875" customWidth="1"/>
    <col min="14606" max="14606" width="11.88671875" customWidth="1"/>
    <col min="14849" max="14849" width="5.44140625" customWidth="1"/>
    <col min="14850" max="14850" width="22" customWidth="1"/>
    <col min="14851" max="14851" width="17" customWidth="1"/>
    <col min="14852" max="14852" width="13.6640625" customWidth="1"/>
    <col min="14853" max="14853" width="15.88671875" customWidth="1"/>
    <col min="14854" max="14860" width="13.6640625" customWidth="1"/>
    <col min="14861" max="14861" width="12.5546875" customWidth="1"/>
    <col min="14862" max="14862" width="11.88671875" customWidth="1"/>
    <col min="15105" max="15105" width="5.44140625" customWidth="1"/>
    <col min="15106" max="15106" width="22" customWidth="1"/>
    <col min="15107" max="15107" width="17" customWidth="1"/>
    <col min="15108" max="15108" width="13.6640625" customWidth="1"/>
    <col min="15109" max="15109" width="15.88671875" customWidth="1"/>
    <col min="15110" max="15116" width="13.6640625" customWidth="1"/>
    <col min="15117" max="15117" width="12.5546875" customWidth="1"/>
    <col min="15118" max="15118" width="11.88671875" customWidth="1"/>
    <col min="15361" max="15361" width="5.44140625" customWidth="1"/>
    <col min="15362" max="15362" width="22" customWidth="1"/>
    <col min="15363" max="15363" width="17" customWidth="1"/>
    <col min="15364" max="15364" width="13.6640625" customWidth="1"/>
    <col min="15365" max="15365" width="15.88671875" customWidth="1"/>
    <col min="15366" max="15372" width="13.6640625" customWidth="1"/>
    <col min="15373" max="15373" width="12.5546875" customWidth="1"/>
    <col min="15374" max="15374" width="11.88671875" customWidth="1"/>
    <col min="15617" max="15617" width="5.44140625" customWidth="1"/>
    <col min="15618" max="15618" width="22" customWidth="1"/>
    <col min="15619" max="15619" width="17" customWidth="1"/>
    <col min="15620" max="15620" width="13.6640625" customWidth="1"/>
    <col min="15621" max="15621" width="15.88671875" customWidth="1"/>
    <col min="15622" max="15628" width="13.6640625" customWidth="1"/>
    <col min="15629" max="15629" width="12.5546875" customWidth="1"/>
    <col min="15630" max="15630" width="11.88671875" customWidth="1"/>
    <col min="15873" max="15873" width="5.44140625" customWidth="1"/>
    <col min="15874" max="15874" width="22" customWidth="1"/>
    <col min="15875" max="15875" width="17" customWidth="1"/>
    <col min="15876" max="15876" width="13.6640625" customWidth="1"/>
    <col min="15877" max="15877" width="15.88671875" customWidth="1"/>
    <col min="15878" max="15884" width="13.6640625" customWidth="1"/>
    <col min="15885" max="15885" width="12.5546875" customWidth="1"/>
    <col min="15886" max="15886" width="11.88671875" customWidth="1"/>
    <col min="16129" max="16129" width="5.44140625" customWidth="1"/>
    <col min="16130" max="16130" width="22" customWidth="1"/>
    <col min="16131" max="16131" width="17" customWidth="1"/>
    <col min="16132" max="16132" width="13.6640625" customWidth="1"/>
    <col min="16133" max="16133" width="15.88671875" customWidth="1"/>
    <col min="16134" max="16140" width="13.6640625" customWidth="1"/>
    <col min="16141" max="16141" width="12.5546875" customWidth="1"/>
    <col min="16142" max="16142" width="11.88671875" customWidth="1"/>
  </cols>
  <sheetData>
    <row r="1" spans="1:16" ht="15.6" x14ac:dyDescent="0.3">
      <c r="A1" s="1"/>
      <c r="B1" s="2" t="s">
        <v>63</v>
      </c>
      <c r="C1" s="3"/>
      <c r="D1" s="4" t="s">
        <v>100</v>
      </c>
      <c r="E1" s="5"/>
      <c r="F1" s="6"/>
      <c r="G1" s="35" t="s">
        <v>49</v>
      </c>
      <c r="H1" s="35"/>
      <c r="I1" s="35"/>
      <c r="J1" s="5"/>
      <c r="K1" s="5"/>
      <c r="L1" s="5"/>
      <c r="M1" s="6"/>
      <c r="N1" s="3"/>
      <c r="O1" s="10"/>
    </row>
    <row r="2" spans="1:16" ht="15.6" x14ac:dyDescent="0.3">
      <c r="A2" s="21"/>
      <c r="B2" s="94"/>
      <c r="C2" s="12"/>
      <c r="D2" s="93"/>
      <c r="E2" s="11"/>
      <c r="F2" s="10"/>
      <c r="G2" s="95"/>
      <c r="H2" s="95"/>
      <c r="I2" s="95"/>
      <c r="J2" s="11"/>
      <c r="K2" s="107"/>
      <c r="L2" s="108"/>
      <c r="M2" s="109"/>
      <c r="N2" s="12"/>
      <c r="O2" s="10"/>
    </row>
    <row r="3" spans="1:16" ht="15" thickBot="1" x14ac:dyDescent="0.35">
      <c r="A3" s="29"/>
      <c r="B3" s="7" t="s">
        <v>0</v>
      </c>
      <c r="C3" s="8"/>
      <c r="D3" s="9" t="s">
        <v>99</v>
      </c>
      <c r="E3" s="10"/>
      <c r="F3" s="11"/>
      <c r="G3" s="11"/>
      <c r="H3" s="11"/>
      <c r="I3" s="11"/>
      <c r="J3" s="11"/>
      <c r="K3" s="11"/>
      <c r="L3" s="11"/>
      <c r="M3" s="10"/>
      <c r="N3" s="12"/>
      <c r="O3" s="10"/>
    </row>
    <row r="4" spans="1:16" ht="15" thickBot="1" x14ac:dyDescent="0.35">
      <c r="A4" s="36"/>
      <c r="B4" s="37" t="s">
        <v>1</v>
      </c>
      <c r="C4" s="38" t="s">
        <v>2</v>
      </c>
      <c r="D4" s="39"/>
      <c r="E4" s="91"/>
      <c r="F4" s="92"/>
      <c r="G4" s="258" t="s">
        <v>3</v>
      </c>
      <c r="H4" s="258"/>
      <c r="I4" s="258"/>
      <c r="J4" s="258"/>
      <c r="K4" s="258"/>
      <c r="L4" s="258"/>
      <c r="M4" s="258"/>
      <c r="N4" s="259"/>
    </row>
    <row r="5" spans="1:16" ht="15" thickBot="1" x14ac:dyDescent="0.35">
      <c r="A5" s="14" t="s">
        <v>4</v>
      </c>
      <c r="B5" s="40"/>
      <c r="C5" s="41"/>
      <c r="D5" s="97">
        <v>0</v>
      </c>
      <c r="E5" s="97">
        <v>1</v>
      </c>
      <c r="F5" s="97">
        <v>2</v>
      </c>
      <c r="G5" s="97">
        <v>3</v>
      </c>
      <c r="H5" s="97">
        <v>4</v>
      </c>
      <c r="I5" s="97">
        <v>5</v>
      </c>
      <c r="J5" s="97">
        <v>6</v>
      </c>
      <c r="K5" s="97">
        <v>7</v>
      </c>
      <c r="L5" s="97">
        <v>8</v>
      </c>
      <c r="M5" s="16">
        <v>9</v>
      </c>
      <c r="N5" s="16">
        <v>10</v>
      </c>
      <c r="O5" s="97">
        <v>11</v>
      </c>
      <c r="P5" s="97">
        <v>12</v>
      </c>
    </row>
    <row r="6" spans="1:16" ht="17.399999999999999" x14ac:dyDescent="0.45">
      <c r="A6" s="42" t="s">
        <v>5</v>
      </c>
      <c r="B6" s="43" t="s">
        <v>6</v>
      </c>
      <c r="C6" s="44" t="s">
        <v>7</v>
      </c>
      <c r="D6" s="98"/>
      <c r="E6" s="154"/>
      <c r="F6" s="155"/>
      <c r="G6" s="155"/>
      <c r="H6" s="156">
        <v>745614</v>
      </c>
      <c r="I6" s="159">
        <v>755808</v>
      </c>
      <c r="J6" s="160">
        <v>760808</v>
      </c>
      <c r="K6" s="157">
        <v>765808</v>
      </c>
      <c r="L6" s="161">
        <v>770808</v>
      </c>
      <c r="M6" s="162">
        <v>775808</v>
      </c>
      <c r="N6" s="163">
        <v>780808</v>
      </c>
      <c r="O6" s="166">
        <v>785808</v>
      </c>
      <c r="P6" s="164">
        <v>790808</v>
      </c>
    </row>
    <row r="7" spans="1:16" x14ac:dyDescent="0.3">
      <c r="A7" s="45"/>
      <c r="B7" s="46" t="s">
        <v>8</v>
      </c>
      <c r="C7" s="47" t="s">
        <v>50</v>
      </c>
      <c r="D7" s="98"/>
      <c r="E7" s="19"/>
      <c r="F7" s="19"/>
      <c r="G7" s="19"/>
      <c r="H7" s="130">
        <f t="shared" ref="H7" si="0">H8*12*0.47/146</f>
        <v>1632.8328207995526</v>
      </c>
      <c r="I7" s="131">
        <f>I8*12*0.47/146</f>
        <v>1655.1568353368743</v>
      </c>
      <c r="J7" s="132">
        <f>J8*12*0.47/146</f>
        <v>1666.106420650452</v>
      </c>
      <c r="K7" s="133">
        <f t="shared" ref="K7:P7" si="1">K8*0.47*12/146</f>
        <v>1677.0560059640293</v>
      </c>
      <c r="L7" s="128">
        <f t="shared" si="1"/>
        <v>1688.0055912776068</v>
      </c>
      <c r="M7" s="251">
        <f t="shared" si="1"/>
        <v>1698.9551765911842</v>
      </c>
      <c r="N7" s="252">
        <f t="shared" si="1"/>
        <v>1709.9047619047617</v>
      </c>
      <c r="O7" s="253">
        <f t="shared" si="1"/>
        <v>1720.8543472183396</v>
      </c>
      <c r="P7" s="254">
        <f t="shared" si="1"/>
        <v>1731.8039325319169</v>
      </c>
    </row>
    <row r="8" spans="1:16" x14ac:dyDescent="0.3">
      <c r="A8" s="45"/>
      <c r="B8" s="46" t="s">
        <v>9</v>
      </c>
      <c r="C8" s="47" t="s">
        <v>51</v>
      </c>
      <c r="D8" s="98"/>
      <c r="E8" s="19"/>
      <c r="F8" s="19"/>
      <c r="G8" s="19"/>
      <c r="H8" s="19">
        <f t="shared" ref="H8" si="2">(H6*100)/(147*12)</f>
        <v>42268.367346938772</v>
      </c>
      <c r="I8" s="48">
        <f t="shared" ref="I8:P8" si="3">(I6*100)/(147*12)</f>
        <v>42846.258503401361</v>
      </c>
      <c r="J8" s="49">
        <f t="shared" si="3"/>
        <v>43129.705215419504</v>
      </c>
      <c r="K8" s="120">
        <f t="shared" si="3"/>
        <v>43413.151927437641</v>
      </c>
      <c r="L8" s="110">
        <f t="shared" si="3"/>
        <v>43696.598639455784</v>
      </c>
      <c r="M8" s="122">
        <f t="shared" si="3"/>
        <v>43980.04535147392</v>
      </c>
      <c r="N8" s="120">
        <f t="shared" si="3"/>
        <v>44263.492063492064</v>
      </c>
      <c r="O8" s="167">
        <f t="shared" si="3"/>
        <v>44546.938775510207</v>
      </c>
      <c r="P8" s="50">
        <f t="shared" si="3"/>
        <v>44830.385487528343</v>
      </c>
    </row>
    <row r="9" spans="1:16" x14ac:dyDescent="0.3">
      <c r="A9" s="45"/>
      <c r="B9" s="46" t="s">
        <v>10</v>
      </c>
      <c r="C9" s="47" t="s">
        <v>52</v>
      </c>
      <c r="D9" s="98"/>
      <c r="E9" s="19"/>
      <c r="F9" s="19"/>
      <c r="G9" s="19"/>
      <c r="H9" s="19">
        <f t="shared" ref="H9" si="4">H8*47.08/52.14</f>
        <v>38166.37389132868</v>
      </c>
      <c r="I9" s="48">
        <f t="shared" ref="I9:P9" si="5">I8*47.08/52.14</f>
        <v>38688.182783661985</v>
      </c>
      <c r="J9" s="49">
        <f t="shared" si="5"/>
        <v>38944.122008859806</v>
      </c>
      <c r="K9" s="120">
        <f t="shared" si="5"/>
        <v>39200.061234057612</v>
      </c>
      <c r="L9" s="110">
        <f t="shared" si="5"/>
        <v>39456.000459255432</v>
      </c>
      <c r="M9" s="122">
        <f t="shared" si="5"/>
        <v>39711.939684453246</v>
      </c>
      <c r="N9" s="120">
        <f t="shared" si="5"/>
        <v>39967.878909651059</v>
      </c>
      <c r="O9" s="168">
        <f t="shared" si="5"/>
        <v>40223.81813484888</v>
      </c>
      <c r="P9" s="50">
        <f t="shared" si="5"/>
        <v>40479.757360046693</v>
      </c>
    </row>
    <row r="10" spans="1:16" x14ac:dyDescent="0.3">
      <c r="A10" s="45"/>
      <c r="B10" s="46" t="s">
        <v>11</v>
      </c>
      <c r="C10" s="51" t="s">
        <v>53</v>
      </c>
      <c r="D10" s="98"/>
      <c r="E10" s="24"/>
      <c r="F10" s="24"/>
      <c r="G10" s="24"/>
      <c r="H10" s="24">
        <f t="shared" ref="H10" si="6">H6/1752</f>
        <v>425.57876712328766</v>
      </c>
      <c r="I10" s="52">
        <f t="shared" ref="I10:P10" si="7">I6/1752</f>
        <v>431.39726027397262</v>
      </c>
      <c r="J10" s="53">
        <f t="shared" si="7"/>
        <v>434.2511415525114</v>
      </c>
      <c r="K10" s="121">
        <f t="shared" si="7"/>
        <v>437.10502283105023</v>
      </c>
      <c r="L10" s="111">
        <f t="shared" si="7"/>
        <v>439.95890410958901</v>
      </c>
      <c r="M10" s="123">
        <f t="shared" si="7"/>
        <v>442.81278538812785</v>
      </c>
      <c r="N10" s="121">
        <f t="shared" si="7"/>
        <v>445.66666666666669</v>
      </c>
      <c r="O10" s="111">
        <f t="shared" si="7"/>
        <v>448.52054794520546</v>
      </c>
      <c r="P10" s="54">
        <f t="shared" si="7"/>
        <v>451.3744292237443</v>
      </c>
    </row>
    <row r="11" spans="1:16" x14ac:dyDescent="0.3">
      <c r="A11" s="45"/>
      <c r="B11" s="55" t="s">
        <v>12</v>
      </c>
      <c r="C11" s="51" t="s">
        <v>54</v>
      </c>
      <c r="D11" s="98"/>
      <c r="E11" s="24"/>
      <c r="F11" s="24"/>
      <c r="G11" s="24"/>
      <c r="H11" s="24">
        <f t="shared" ref="H11" si="8">H6/1752*1.65</f>
        <v>702.20496575342463</v>
      </c>
      <c r="I11" s="52">
        <f t="shared" ref="I11:P11" si="9">I6/1752*1.65</f>
        <v>711.80547945205478</v>
      </c>
      <c r="J11" s="53">
        <f t="shared" si="9"/>
        <v>716.51438356164374</v>
      </c>
      <c r="K11" s="121">
        <f t="shared" si="9"/>
        <v>721.22328767123281</v>
      </c>
      <c r="L11" s="111">
        <f t="shared" si="9"/>
        <v>725.93219178082188</v>
      </c>
      <c r="M11" s="123">
        <f t="shared" si="9"/>
        <v>730.64109589041095</v>
      </c>
      <c r="N11" s="121">
        <f t="shared" si="9"/>
        <v>735.35</v>
      </c>
      <c r="O11" s="111">
        <f t="shared" si="9"/>
        <v>740.05890410958898</v>
      </c>
      <c r="P11" s="54">
        <f t="shared" si="9"/>
        <v>744.76780821917805</v>
      </c>
    </row>
    <row r="12" spans="1:16" x14ac:dyDescent="0.3">
      <c r="A12" s="45"/>
      <c r="B12" s="26" t="s">
        <v>41</v>
      </c>
      <c r="C12" s="51" t="s">
        <v>55</v>
      </c>
      <c r="D12" s="98"/>
      <c r="E12" s="24"/>
      <c r="F12" s="24"/>
      <c r="G12" s="24"/>
      <c r="H12" s="24">
        <f t="shared" ref="H12" si="10">H8/162.5</f>
        <v>260.11302982731553</v>
      </c>
      <c r="I12" s="52">
        <f t="shared" ref="I12:P12" si="11">I8/162.5</f>
        <v>263.66928309785453</v>
      </c>
      <c r="J12" s="53">
        <f t="shared" si="11"/>
        <v>265.41357055642771</v>
      </c>
      <c r="K12" s="121">
        <f t="shared" si="11"/>
        <v>267.15785801500084</v>
      </c>
      <c r="L12" s="111">
        <f t="shared" si="11"/>
        <v>268.90214547357408</v>
      </c>
      <c r="M12" s="123">
        <f t="shared" si="11"/>
        <v>270.64643293214721</v>
      </c>
      <c r="N12" s="121">
        <f t="shared" si="11"/>
        <v>272.39072039072039</v>
      </c>
      <c r="O12" s="169">
        <f t="shared" si="11"/>
        <v>274.13500784929357</v>
      </c>
      <c r="P12" s="54">
        <f t="shared" si="11"/>
        <v>275.87929530786676</v>
      </c>
    </row>
    <row r="13" spans="1:16" x14ac:dyDescent="0.3">
      <c r="A13" s="45"/>
      <c r="B13" s="22" t="s">
        <v>66</v>
      </c>
      <c r="C13" s="51" t="s">
        <v>56</v>
      </c>
      <c r="D13" s="98"/>
      <c r="E13" s="24"/>
      <c r="F13" s="24"/>
      <c r="G13" s="24"/>
      <c r="H13" s="24">
        <f t="shared" ref="H13" si="12">H12*1.5</f>
        <v>390.16954474097327</v>
      </c>
      <c r="I13" s="52">
        <f t="shared" ref="I13:P13" si="13">I12*1.5</f>
        <v>395.5039246467818</v>
      </c>
      <c r="J13" s="53">
        <f t="shared" si="13"/>
        <v>398.1203558346416</v>
      </c>
      <c r="K13" s="121">
        <f t="shared" si="13"/>
        <v>400.73678702250129</v>
      </c>
      <c r="L13" s="111">
        <f t="shared" si="13"/>
        <v>403.35321821036109</v>
      </c>
      <c r="M13" s="123">
        <f t="shared" si="13"/>
        <v>405.96964939822078</v>
      </c>
      <c r="N13" s="121">
        <f t="shared" si="13"/>
        <v>408.58608058608058</v>
      </c>
      <c r="O13" s="169">
        <f t="shared" si="13"/>
        <v>411.20251177394039</v>
      </c>
      <c r="P13" s="54">
        <f t="shared" si="13"/>
        <v>413.81894296180013</v>
      </c>
    </row>
    <row r="14" spans="1:16" ht="15" thickBot="1" x14ac:dyDescent="0.35">
      <c r="A14" s="45"/>
      <c r="B14" s="56" t="s">
        <v>67</v>
      </c>
      <c r="C14" s="57" t="s">
        <v>57</v>
      </c>
      <c r="D14" s="98"/>
      <c r="E14" s="27"/>
      <c r="F14" s="27"/>
      <c r="G14" s="27"/>
      <c r="H14" s="27">
        <f t="shared" ref="H14" si="14">H12*2</f>
        <v>520.22605965463106</v>
      </c>
      <c r="I14" s="58">
        <f t="shared" ref="I14:P14" si="15">I12*2</f>
        <v>527.33856619570906</v>
      </c>
      <c r="J14" s="59">
        <f t="shared" si="15"/>
        <v>530.82714111285543</v>
      </c>
      <c r="K14" s="124">
        <f t="shared" si="15"/>
        <v>534.31571603000168</v>
      </c>
      <c r="L14" s="125">
        <f t="shared" si="15"/>
        <v>537.80429094714816</v>
      </c>
      <c r="M14" s="126">
        <f t="shared" si="15"/>
        <v>541.29286586429441</v>
      </c>
      <c r="N14" s="124">
        <f t="shared" si="15"/>
        <v>544.78144078144078</v>
      </c>
      <c r="O14" s="170">
        <f t="shared" si="15"/>
        <v>548.27001569858714</v>
      </c>
      <c r="P14" s="127">
        <f t="shared" si="15"/>
        <v>551.75859061573351</v>
      </c>
    </row>
    <row r="15" spans="1:16" ht="17.399999999999999" x14ac:dyDescent="0.45">
      <c r="A15" s="60" t="s">
        <v>13</v>
      </c>
      <c r="B15" s="61" t="s">
        <v>14</v>
      </c>
      <c r="C15" s="44" t="s">
        <v>7</v>
      </c>
      <c r="D15" s="172"/>
      <c r="E15" s="249"/>
      <c r="F15" s="145"/>
      <c r="G15" s="145">
        <f>537800.55+(537800.55*1.1%)+10000+5733+(559449*4.5%)+10000+5340+12000+12000+5160+3100+9100+7166+4500+19700+1400+11646+19500</f>
        <v>705236.56105000002</v>
      </c>
      <c r="H15" s="146">
        <f>553330.05+(553330.05*1.1%)+10000+5733+(575150*4.5%)+10000+5340+12000+12000+5160+3100+9100+7166+4500+19700+1400+11646+19500</f>
        <v>721643.43055000005</v>
      </c>
      <c r="I15" s="147">
        <v>727991</v>
      </c>
      <c r="J15" s="148">
        <v>732991</v>
      </c>
      <c r="K15" s="149">
        <v>737991</v>
      </c>
      <c r="L15" s="144">
        <v>742991</v>
      </c>
      <c r="M15" s="144">
        <v>747991</v>
      </c>
      <c r="N15" s="144">
        <v>752991</v>
      </c>
      <c r="O15" s="165">
        <v>757991</v>
      </c>
      <c r="P15" s="144">
        <v>762991</v>
      </c>
    </row>
    <row r="16" spans="1:16" x14ac:dyDescent="0.3">
      <c r="A16" s="62"/>
      <c r="B16" s="61" t="s">
        <v>15</v>
      </c>
      <c r="C16" s="47" t="s">
        <v>50</v>
      </c>
      <c r="D16" s="100"/>
      <c r="E16" s="19"/>
      <c r="F16" s="18"/>
      <c r="G16" s="138">
        <f t="shared" ref="G16:H16" si="16">G17*12*0.47/146</f>
        <v>1544.4095782941945</v>
      </c>
      <c r="H16" s="129">
        <f t="shared" si="16"/>
        <v>1580.3392617579912</v>
      </c>
      <c r="I16" s="131">
        <f>I17*12*0.47/146</f>
        <v>1594.2399124033172</v>
      </c>
      <c r="J16" s="131">
        <f>J17*12*0.47/146</f>
        <v>1605.1894977168952</v>
      </c>
      <c r="K16" s="139">
        <f>K17*12*0.47/146</f>
        <v>1616.1390830304724</v>
      </c>
      <c r="L16" s="140">
        <f t="shared" ref="L16:P16" si="17">L17*12*0.47/146</f>
        <v>1627.0886683440501</v>
      </c>
      <c r="M16" s="140">
        <f t="shared" si="17"/>
        <v>1638.0382536576274</v>
      </c>
      <c r="N16" s="140">
        <f t="shared" si="17"/>
        <v>1648.9878389712048</v>
      </c>
      <c r="O16" s="140">
        <f t="shared" si="17"/>
        <v>1659.9374242847823</v>
      </c>
      <c r="P16" s="140">
        <f t="shared" si="17"/>
        <v>1670.8870095983596</v>
      </c>
    </row>
    <row r="17" spans="1:16" x14ac:dyDescent="0.3">
      <c r="A17" s="62"/>
      <c r="B17" s="61" t="s">
        <v>16</v>
      </c>
      <c r="C17" s="47" t="s">
        <v>51</v>
      </c>
      <c r="D17" s="100"/>
      <c r="E17" s="19"/>
      <c r="F17" s="18"/>
      <c r="G17" s="20">
        <f t="shared" ref="G17:H17" si="18">(G15*100)/(147*12)</f>
        <v>39979.396884920636</v>
      </c>
      <c r="H17" s="18">
        <f t="shared" si="18"/>
        <v>40909.491527777784</v>
      </c>
      <c r="I17" s="48">
        <f>(I15*100)/(147*12)</f>
        <v>41269.331065759638</v>
      </c>
      <c r="J17" s="48">
        <f>(J15*100)/(147*12)</f>
        <v>41552.777777777781</v>
      </c>
      <c r="K17" s="134">
        <f>(K15*100)/(147*12)</f>
        <v>41836.224489795917</v>
      </c>
      <c r="L17" s="142">
        <f t="shared" ref="L17:P17" si="19">(L15*100)/(147*12)</f>
        <v>42119.671201814061</v>
      </c>
      <c r="M17" s="142">
        <f t="shared" si="19"/>
        <v>42403.117913832197</v>
      </c>
      <c r="N17" s="142">
        <f t="shared" si="19"/>
        <v>42686.56462585034</v>
      </c>
      <c r="O17" s="142">
        <f t="shared" si="19"/>
        <v>42970.011337868484</v>
      </c>
      <c r="P17" s="142">
        <f t="shared" si="19"/>
        <v>43253.45804988662</v>
      </c>
    </row>
    <row r="18" spans="1:16" x14ac:dyDescent="0.3">
      <c r="A18" s="62"/>
      <c r="B18" s="61" t="s">
        <v>17</v>
      </c>
      <c r="C18" s="47" t="s">
        <v>52</v>
      </c>
      <c r="D18" s="100"/>
      <c r="E18" s="19"/>
      <c r="F18" s="18"/>
      <c r="G18" s="20">
        <f t="shared" ref="G18:H18" si="20">G17*47.08/52.14</f>
        <v>36099.539803261672</v>
      </c>
      <c r="H18" s="18">
        <f t="shared" si="20"/>
        <v>36939.372096812003</v>
      </c>
      <c r="I18" s="48">
        <f>I17*47.08/52.14</f>
        <v>37264.29049819646</v>
      </c>
      <c r="J18" s="48">
        <f>J17*47.08/52.14</f>
        <v>37520.229723394281</v>
      </c>
      <c r="K18" s="134">
        <f>K17*47.08/52.14</f>
        <v>37776.168948592094</v>
      </c>
      <c r="L18" s="142">
        <f t="shared" ref="L18:P18" si="21">L17*47.08/52.14</f>
        <v>38032.108173789908</v>
      </c>
      <c r="M18" s="142">
        <f t="shared" si="21"/>
        <v>38288.047398987721</v>
      </c>
      <c r="N18" s="142">
        <f t="shared" si="21"/>
        <v>38543.986624185534</v>
      </c>
      <c r="O18" s="142">
        <f t="shared" si="21"/>
        <v>38799.925849383355</v>
      </c>
      <c r="P18" s="142">
        <f t="shared" si="21"/>
        <v>39055.865074581168</v>
      </c>
    </row>
    <row r="19" spans="1:16" x14ac:dyDescent="0.3">
      <c r="A19" s="62"/>
      <c r="B19" s="61" t="s">
        <v>18</v>
      </c>
      <c r="C19" s="51" t="s">
        <v>53</v>
      </c>
      <c r="D19" s="101"/>
      <c r="E19" s="24"/>
      <c r="F19" s="23"/>
      <c r="G19" s="25">
        <f t="shared" ref="G19:H19" si="22">G15/1752</f>
        <v>402.53228370433789</v>
      </c>
      <c r="H19" s="23">
        <f t="shared" si="22"/>
        <v>411.89693524543384</v>
      </c>
      <c r="I19" s="52">
        <f>I15/1752</f>
        <v>415.51997716894977</v>
      </c>
      <c r="J19" s="52">
        <f>J15/1752</f>
        <v>418.3738584474886</v>
      </c>
      <c r="K19" s="135">
        <f>K15/1752</f>
        <v>421.22773972602738</v>
      </c>
      <c r="L19" s="141">
        <f t="shared" ref="L19:P19" si="23">L15/1752</f>
        <v>424.08162100456622</v>
      </c>
      <c r="M19" s="141">
        <f t="shared" si="23"/>
        <v>426.935502283105</v>
      </c>
      <c r="N19" s="141">
        <f t="shared" si="23"/>
        <v>429.78938356164383</v>
      </c>
      <c r="O19" s="141">
        <f t="shared" si="23"/>
        <v>432.64326484018267</v>
      </c>
      <c r="P19" s="141">
        <f t="shared" si="23"/>
        <v>435.49714611872145</v>
      </c>
    </row>
    <row r="20" spans="1:16" x14ac:dyDescent="0.3">
      <c r="A20" s="62"/>
      <c r="B20" s="61" t="s">
        <v>20</v>
      </c>
      <c r="C20" s="51" t="s">
        <v>54</v>
      </c>
      <c r="D20" s="101"/>
      <c r="E20" s="24"/>
      <c r="F20" s="23"/>
      <c r="G20" s="25">
        <f t="shared" ref="G20:H20" si="24">G15/1752*1.65</f>
        <v>664.17826811215753</v>
      </c>
      <c r="H20" s="23">
        <f t="shared" si="24"/>
        <v>679.62994315496576</v>
      </c>
      <c r="I20" s="52">
        <f>I15/1752*1.65</f>
        <v>685.60796232876703</v>
      </c>
      <c r="J20" s="52">
        <f>J15/1752*1.65</f>
        <v>690.3168664383561</v>
      </c>
      <c r="K20" s="135">
        <f>K15/1752*1.65</f>
        <v>695.02577054794517</v>
      </c>
      <c r="L20" s="141">
        <f t="shared" ref="L20:P20" si="25">L15/1752*1.65</f>
        <v>699.73467465753424</v>
      </c>
      <c r="M20" s="141">
        <f t="shared" si="25"/>
        <v>704.4435787671232</v>
      </c>
      <c r="N20" s="141">
        <f t="shared" si="25"/>
        <v>709.15248287671227</v>
      </c>
      <c r="O20" s="141">
        <f t="shared" si="25"/>
        <v>713.86138698630134</v>
      </c>
      <c r="P20" s="141">
        <f t="shared" si="25"/>
        <v>718.5702910958903</v>
      </c>
    </row>
    <row r="21" spans="1:16" x14ac:dyDescent="0.3">
      <c r="A21" s="62"/>
      <c r="B21" s="61" t="s">
        <v>21</v>
      </c>
      <c r="C21" s="51" t="s">
        <v>55</v>
      </c>
      <c r="D21" s="101"/>
      <c r="E21" s="24"/>
      <c r="F21" s="23"/>
      <c r="G21" s="25">
        <f t="shared" ref="G21:H21" si="26">G17/162.5</f>
        <v>246.02705775335775</v>
      </c>
      <c r="H21" s="23">
        <f t="shared" si="26"/>
        <v>251.75071709401712</v>
      </c>
      <c r="I21" s="52">
        <f>I17/162.5</f>
        <v>253.96511425082855</v>
      </c>
      <c r="J21" s="52">
        <f>J17/162.5</f>
        <v>255.70940170940173</v>
      </c>
      <c r="K21" s="135">
        <f>K17/162.5</f>
        <v>257.45368916797486</v>
      </c>
      <c r="L21" s="141">
        <f t="shared" ref="L21:P21" si="27">L17/162.5</f>
        <v>259.19797662654804</v>
      </c>
      <c r="M21" s="141">
        <f t="shared" si="27"/>
        <v>260.94226408512122</v>
      </c>
      <c r="N21" s="141">
        <f t="shared" si="27"/>
        <v>262.68655154369441</v>
      </c>
      <c r="O21" s="141">
        <f t="shared" si="27"/>
        <v>264.43083900226759</v>
      </c>
      <c r="P21" s="141">
        <f t="shared" si="27"/>
        <v>266.17512646084072</v>
      </c>
    </row>
    <row r="22" spans="1:16" x14ac:dyDescent="0.3">
      <c r="A22" s="62"/>
      <c r="B22" s="61" t="s">
        <v>22</v>
      </c>
      <c r="C22" s="51" t="s">
        <v>56</v>
      </c>
      <c r="D22" s="101"/>
      <c r="E22" s="24"/>
      <c r="F22" s="23"/>
      <c r="G22" s="25">
        <f t="shared" ref="G22:H22" si="28">G21*1.5</f>
        <v>369.04058663003661</v>
      </c>
      <c r="H22" s="23">
        <f t="shared" si="28"/>
        <v>377.62607564102569</v>
      </c>
      <c r="I22" s="52">
        <f>I21*1.5</f>
        <v>380.94767137624285</v>
      </c>
      <c r="J22" s="52">
        <f>J21*1.5</f>
        <v>383.5641025641026</v>
      </c>
      <c r="K22" s="135">
        <f>K21*1.5</f>
        <v>386.18053375196229</v>
      </c>
      <c r="L22" s="141">
        <f t="shared" ref="L22:P22" si="29">L21*1.5</f>
        <v>388.79696493982203</v>
      </c>
      <c r="M22" s="141">
        <f t="shared" si="29"/>
        <v>391.41339612768184</v>
      </c>
      <c r="N22" s="141">
        <f t="shared" si="29"/>
        <v>394.02982731554164</v>
      </c>
      <c r="O22" s="141">
        <f t="shared" si="29"/>
        <v>396.64625850340138</v>
      </c>
      <c r="P22" s="141">
        <f t="shared" si="29"/>
        <v>399.26268969126107</v>
      </c>
    </row>
    <row r="23" spans="1:16" x14ac:dyDescent="0.3">
      <c r="A23" s="62"/>
      <c r="B23" s="61" t="s">
        <v>23</v>
      </c>
      <c r="C23" s="51" t="s">
        <v>57</v>
      </c>
      <c r="D23" s="101"/>
      <c r="E23" s="24"/>
      <c r="F23" s="23"/>
      <c r="G23" s="25">
        <f t="shared" ref="G23:H23" si="30">G21*2</f>
        <v>492.0541155067155</v>
      </c>
      <c r="H23" s="23">
        <f t="shared" si="30"/>
        <v>503.50143418803424</v>
      </c>
      <c r="I23" s="52">
        <f>I21*2</f>
        <v>507.9302285016571</v>
      </c>
      <c r="J23" s="52">
        <f>J21*2</f>
        <v>511.41880341880346</v>
      </c>
      <c r="K23" s="135">
        <f>K21*2</f>
        <v>514.90737833594972</v>
      </c>
      <c r="L23" s="141">
        <f t="shared" ref="L23:P23" si="31">L21*2</f>
        <v>518.39595325309608</v>
      </c>
      <c r="M23" s="141">
        <f t="shared" si="31"/>
        <v>521.88452817024245</v>
      </c>
      <c r="N23" s="141">
        <f t="shared" si="31"/>
        <v>525.37310308738881</v>
      </c>
      <c r="O23" s="141">
        <f t="shared" si="31"/>
        <v>528.86167800453518</v>
      </c>
      <c r="P23" s="141">
        <f t="shared" si="31"/>
        <v>532.35025292168143</v>
      </c>
    </row>
    <row r="24" spans="1:16" x14ac:dyDescent="0.3">
      <c r="A24" s="62"/>
      <c r="B24" s="61" t="s">
        <v>24</v>
      </c>
      <c r="C24" s="51"/>
      <c r="D24" s="101"/>
      <c r="E24" s="24"/>
      <c r="F24" s="23"/>
      <c r="G24" s="25"/>
      <c r="H24" s="23"/>
      <c r="I24" s="63"/>
      <c r="J24" s="21"/>
      <c r="K24" s="136"/>
      <c r="L24" s="22"/>
      <c r="M24" s="22"/>
      <c r="N24" s="22"/>
      <c r="O24" s="22"/>
      <c r="P24" s="22"/>
    </row>
    <row r="25" spans="1:16" ht="15" thickBot="1" x14ac:dyDescent="0.35">
      <c r="A25" s="64"/>
      <c r="B25" s="65" t="s">
        <v>25</v>
      </c>
      <c r="C25" s="66"/>
      <c r="D25" s="173"/>
      <c r="E25" s="250"/>
      <c r="F25" s="30"/>
      <c r="G25" s="67"/>
      <c r="H25" s="30"/>
      <c r="I25" s="68"/>
      <c r="J25" s="21"/>
      <c r="K25" s="137"/>
      <c r="L25" s="115"/>
      <c r="M25" s="115"/>
      <c r="N25" s="115"/>
      <c r="O25" s="115"/>
      <c r="P25" s="115"/>
    </row>
    <row r="26" spans="1:16" ht="17.399999999999999" x14ac:dyDescent="0.45">
      <c r="A26" s="69" t="s">
        <v>26</v>
      </c>
      <c r="B26" s="43" t="s">
        <v>27</v>
      </c>
      <c r="C26" s="44" t="s">
        <v>7</v>
      </c>
      <c r="D26" s="99"/>
      <c r="E26" s="154"/>
      <c r="F26" s="155"/>
      <c r="G26" s="155">
        <v>689476</v>
      </c>
      <c r="H26" s="156">
        <v>705420</v>
      </c>
      <c r="I26" s="155">
        <v>709224</v>
      </c>
      <c r="J26" s="157">
        <v>714224</v>
      </c>
      <c r="K26" s="158">
        <v>719224</v>
      </c>
      <c r="L26" s="153">
        <v>724224</v>
      </c>
      <c r="M26" s="153">
        <v>729224</v>
      </c>
      <c r="N26" s="153">
        <v>734224</v>
      </c>
      <c r="O26" s="153">
        <v>739224</v>
      </c>
      <c r="P26" s="153">
        <v>744224</v>
      </c>
    </row>
    <row r="27" spans="1:16" x14ac:dyDescent="0.3">
      <c r="A27" s="45"/>
      <c r="B27" s="46" t="s">
        <v>28</v>
      </c>
      <c r="C27" s="47" t="s">
        <v>50</v>
      </c>
      <c r="D27" s="100"/>
      <c r="E27" s="19"/>
      <c r="F27" s="19"/>
      <c r="G27" s="130">
        <f t="shared" ref="G27:I27" si="32">G28*12*0.47/146</f>
        <v>1509.8952567328299</v>
      </c>
      <c r="H27" s="130">
        <f t="shared" si="32"/>
        <v>1544.811294380766</v>
      </c>
      <c r="I27" s="138">
        <f t="shared" si="32"/>
        <v>1553.1417388873356</v>
      </c>
      <c r="J27" s="131">
        <f>J28*12*0.47/146</f>
        <v>1564.0913242009133</v>
      </c>
      <c r="K27" s="139">
        <f>K28*12*0.47/146</f>
        <v>1575.0409095144905</v>
      </c>
      <c r="L27" s="140">
        <f t="shared" ref="L27:P27" si="33">L28*12*0.47/146</f>
        <v>1585.990494828068</v>
      </c>
      <c r="M27" s="140">
        <f t="shared" si="33"/>
        <v>1596.9400801416457</v>
      </c>
      <c r="N27" s="140">
        <f t="shared" si="33"/>
        <v>1607.8896654552232</v>
      </c>
      <c r="O27" s="140">
        <f t="shared" si="33"/>
        <v>1618.8392507688009</v>
      </c>
      <c r="P27" s="140">
        <f t="shared" si="33"/>
        <v>1629.7888360823781</v>
      </c>
    </row>
    <row r="28" spans="1:16" x14ac:dyDescent="0.3">
      <c r="A28" s="45"/>
      <c r="B28" s="46" t="s">
        <v>29</v>
      </c>
      <c r="C28" s="47" t="s">
        <v>51</v>
      </c>
      <c r="D28" s="100"/>
      <c r="E28" s="19"/>
      <c r="F28" s="19"/>
      <c r="G28" s="19">
        <f t="shared" ref="G28:J28" si="34">(G26*100)/(147*12)</f>
        <v>39085.941043083898</v>
      </c>
      <c r="H28" s="19">
        <f t="shared" si="34"/>
        <v>39989.795918367345</v>
      </c>
      <c r="I28" s="20">
        <f t="shared" si="34"/>
        <v>40205.442176870747</v>
      </c>
      <c r="J28" s="48">
        <f t="shared" si="34"/>
        <v>40488.888888888891</v>
      </c>
      <c r="K28" s="134">
        <f>(K26*100)/(147*12)</f>
        <v>40772.335600907027</v>
      </c>
      <c r="L28" s="142">
        <f t="shared" ref="L28:P28" si="35">(L26*100)/(147*12)</f>
        <v>41055.78231292517</v>
      </c>
      <c r="M28" s="142">
        <f t="shared" si="35"/>
        <v>41339.229024943314</v>
      </c>
      <c r="N28" s="142">
        <f t="shared" si="35"/>
        <v>41622.67573696145</v>
      </c>
      <c r="O28" s="142">
        <f t="shared" si="35"/>
        <v>41906.122448979593</v>
      </c>
      <c r="P28" s="142">
        <f t="shared" si="35"/>
        <v>42189.569160997729</v>
      </c>
    </row>
    <row r="29" spans="1:16" x14ac:dyDescent="0.3">
      <c r="A29" s="45"/>
      <c r="B29" s="46" t="s">
        <v>30</v>
      </c>
      <c r="C29" s="47" t="s">
        <v>52</v>
      </c>
      <c r="D29" s="100"/>
      <c r="E29" s="19"/>
      <c r="F29" s="19"/>
      <c r="G29" s="19">
        <f t="shared" ref="G29:H29" si="36">G28*47.08/52.14</f>
        <v>35292.790646497691</v>
      </c>
      <c r="H29" s="19">
        <f t="shared" si="36"/>
        <v>36108.929647808487</v>
      </c>
      <c r="I29" s="20">
        <f>I28*47.08/52.14</f>
        <v>36303.648210338986</v>
      </c>
      <c r="J29" s="48">
        <f>J28*47.08/52.14</f>
        <v>36559.587435536807</v>
      </c>
      <c r="K29" s="134">
        <f>K28*47.08/52.14</f>
        <v>36815.526660734613</v>
      </c>
      <c r="L29" s="142">
        <f t="shared" ref="L29:P29" si="37">L28*47.08/52.14</f>
        <v>37071.465885932434</v>
      </c>
      <c r="M29" s="142">
        <f t="shared" si="37"/>
        <v>37327.405111130247</v>
      </c>
      <c r="N29" s="142">
        <f t="shared" si="37"/>
        <v>37583.34433632806</v>
      </c>
      <c r="O29" s="142">
        <f t="shared" si="37"/>
        <v>37839.283561525881</v>
      </c>
      <c r="P29" s="142">
        <f t="shared" si="37"/>
        <v>38095.222786723687</v>
      </c>
    </row>
    <row r="30" spans="1:16" x14ac:dyDescent="0.3">
      <c r="A30" s="45"/>
      <c r="B30" s="46" t="s">
        <v>31</v>
      </c>
      <c r="C30" s="51" t="s">
        <v>53</v>
      </c>
      <c r="D30" s="101"/>
      <c r="E30" s="24"/>
      <c r="F30" s="24"/>
      <c r="G30" s="24">
        <f t="shared" ref="G30:J30" si="38">G26/1752</f>
        <v>393.53652968036528</v>
      </c>
      <c r="H30" s="24">
        <f t="shared" si="38"/>
        <v>402.63698630136986</v>
      </c>
      <c r="I30" s="25">
        <f t="shared" si="38"/>
        <v>404.8082191780822</v>
      </c>
      <c r="J30" s="52">
        <f t="shared" si="38"/>
        <v>407.66210045662098</v>
      </c>
      <c r="K30" s="135">
        <f>K26/1752</f>
        <v>410.51598173515981</v>
      </c>
      <c r="L30" s="141">
        <f t="shared" ref="L30:P30" si="39">L26/1752</f>
        <v>413.36986301369865</v>
      </c>
      <c r="M30" s="141">
        <f t="shared" si="39"/>
        <v>416.22374429223743</v>
      </c>
      <c r="N30" s="141">
        <f t="shared" si="39"/>
        <v>419.07762557077626</v>
      </c>
      <c r="O30" s="141">
        <f t="shared" si="39"/>
        <v>421.93150684931504</v>
      </c>
      <c r="P30" s="141">
        <f t="shared" si="39"/>
        <v>424.78538812785388</v>
      </c>
    </row>
    <row r="31" spans="1:16" x14ac:dyDescent="0.3">
      <c r="A31" s="45"/>
      <c r="B31" s="46" t="s">
        <v>32</v>
      </c>
      <c r="C31" s="51" t="s">
        <v>54</v>
      </c>
      <c r="D31" s="101"/>
      <c r="E31" s="24"/>
      <c r="F31" s="24"/>
      <c r="G31" s="24">
        <f t="shared" ref="G31:J31" si="40">G26/1752*1.65</f>
        <v>649.33527397260264</v>
      </c>
      <c r="H31" s="24">
        <f t="shared" si="40"/>
        <v>664.35102739726028</v>
      </c>
      <c r="I31" s="25">
        <f t="shared" si="40"/>
        <v>667.93356164383556</v>
      </c>
      <c r="J31" s="52">
        <f t="shared" si="40"/>
        <v>672.64246575342463</v>
      </c>
      <c r="K31" s="135">
        <f>K26/1752*1.65</f>
        <v>677.3513698630137</v>
      </c>
      <c r="L31" s="141">
        <f t="shared" ref="L31:P31" si="41">L26/1752*1.65</f>
        <v>682.06027397260277</v>
      </c>
      <c r="M31" s="141">
        <f t="shared" si="41"/>
        <v>686.76917808219173</v>
      </c>
      <c r="N31" s="141">
        <f t="shared" si="41"/>
        <v>691.4780821917808</v>
      </c>
      <c r="O31" s="141">
        <f t="shared" si="41"/>
        <v>696.18698630136976</v>
      </c>
      <c r="P31" s="141">
        <f t="shared" si="41"/>
        <v>700.89589041095883</v>
      </c>
    </row>
    <row r="32" spans="1:16" x14ac:dyDescent="0.3">
      <c r="A32" s="45"/>
      <c r="B32" s="46" t="s">
        <v>33</v>
      </c>
      <c r="C32" s="51" t="s">
        <v>55</v>
      </c>
      <c r="D32" s="101"/>
      <c r="E32" s="24"/>
      <c r="F32" s="24"/>
      <c r="G32" s="24">
        <f t="shared" ref="G32:H32" si="42">G28/162.5</f>
        <v>240.52886795743936</v>
      </c>
      <c r="H32" s="24">
        <f t="shared" si="42"/>
        <v>246.09105180533751</v>
      </c>
      <c r="I32" s="25">
        <f>I28/162.5</f>
        <v>247.41810570381998</v>
      </c>
      <c r="J32" s="52">
        <f>J28/162.5</f>
        <v>249.16239316239316</v>
      </c>
      <c r="K32" s="135">
        <f>K28/162.5</f>
        <v>250.90668062096631</v>
      </c>
      <c r="L32" s="141">
        <f t="shared" ref="L32:P32" si="43">L28/162.5</f>
        <v>252.6509680795395</v>
      </c>
      <c r="M32" s="141">
        <f t="shared" si="43"/>
        <v>254.39525553811271</v>
      </c>
      <c r="N32" s="141">
        <f t="shared" si="43"/>
        <v>256.13954299668586</v>
      </c>
      <c r="O32" s="141">
        <f t="shared" si="43"/>
        <v>257.88383045525904</v>
      </c>
      <c r="P32" s="141">
        <f t="shared" si="43"/>
        <v>259.62811791383217</v>
      </c>
    </row>
    <row r="33" spans="1:16" x14ac:dyDescent="0.3">
      <c r="A33" s="45"/>
      <c r="B33" s="46" t="s">
        <v>34</v>
      </c>
      <c r="C33" s="51" t="s">
        <v>56</v>
      </c>
      <c r="D33" s="101"/>
      <c r="E33" s="24"/>
      <c r="F33" s="24"/>
      <c r="G33" s="24">
        <f t="shared" ref="G33:H33" si="44">G32*1.5</f>
        <v>360.79330193615903</v>
      </c>
      <c r="H33" s="24">
        <f t="shared" si="44"/>
        <v>369.13657770800626</v>
      </c>
      <c r="I33" s="25">
        <f>I32*1.5</f>
        <v>371.12715855572998</v>
      </c>
      <c r="J33" s="52">
        <f>J32*1.5</f>
        <v>373.74358974358972</v>
      </c>
      <c r="K33" s="135">
        <f>K32*1.5</f>
        <v>376.36002093144947</v>
      </c>
      <c r="L33" s="141">
        <f t="shared" ref="L33:P33" si="45">L32*1.5</f>
        <v>378.97645211930922</v>
      </c>
      <c r="M33" s="141">
        <f t="shared" si="45"/>
        <v>381.59288330716907</v>
      </c>
      <c r="N33" s="141">
        <f t="shared" si="45"/>
        <v>384.20931449502882</v>
      </c>
      <c r="O33" s="141">
        <f t="shared" si="45"/>
        <v>386.82574568288857</v>
      </c>
      <c r="P33" s="141">
        <f t="shared" si="45"/>
        <v>389.44217687074826</v>
      </c>
    </row>
    <row r="34" spans="1:16" ht="15" thickBot="1" x14ac:dyDescent="0.35">
      <c r="A34" s="70"/>
      <c r="B34" s="71" t="s">
        <v>35</v>
      </c>
      <c r="C34" s="57" t="s">
        <v>57</v>
      </c>
      <c r="D34" s="102"/>
      <c r="E34" s="27"/>
      <c r="F34" s="27"/>
      <c r="G34" s="27">
        <f t="shared" ref="G34:H34" si="46">G32*2</f>
        <v>481.05773591487872</v>
      </c>
      <c r="H34" s="27">
        <f t="shared" si="46"/>
        <v>492.18210361067503</v>
      </c>
      <c r="I34" s="28">
        <f>I32*2</f>
        <v>494.83621140763995</v>
      </c>
      <c r="J34" s="58">
        <f>J32*2</f>
        <v>498.32478632478632</v>
      </c>
      <c r="K34" s="135">
        <f>K32*2</f>
        <v>501.81336124193263</v>
      </c>
      <c r="L34" s="143">
        <f t="shared" ref="L34:P34" si="47">L32*2</f>
        <v>505.30193615907899</v>
      </c>
      <c r="M34" s="143">
        <f t="shared" si="47"/>
        <v>508.79051107622541</v>
      </c>
      <c r="N34" s="143">
        <f t="shared" si="47"/>
        <v>512.27908599337172</v>
      </c>
      <c r="O34" s="143">
        <f t="shared" si="47"/>
        <v>515.76766091051809</v>
      </c>
      <c r="P34" s="143">
        <f t="shared" si="47"/>
        <v>519.25623582766434</v>
      </c>
    </row>
    <row r="35" spans="1:16" ht="17.399999999999999" x14ac:dyDescent="0.45">
      <c r="A35" s="69" t="s">
        <v>36</v>
      </c>
      <c r="B35" s="43" t="s">
        <v>37</v>
      </c>
      <c r="C35" s="44" t="s">
        <v>7</v>
      </c>
      <c r="D35" s="99"/>
      <c r="E35" s="90"/>
      <c r="F35" s="155"/>
      <c r="G35" s="155"/>
      <c r="H35" s="156">
        <v>628310</v>
      </c>
      <c r="I35" s="155">
        <v>636797</v>
      </c>
      <c r="J35" s="157">
        <v>641797</v>
      </c>
      <c r="K35" s="171">
        <v>646797</v>
      </c>
      <c r="L35" s="171">
        <v>651797</v>
      </c>
      <c r="M35" s="171">
        <v>656797</v>
      </c>
      <c r="N35" s="171">
        <v>661797</v>
      </c>
      <c r="O35" s="116"/>
      <c r="P35" s="116"/>
    </row>
    <row r="36" spans="1:16" x14ac:dyDescent="0.3">
      <c r="A36" s="45"/>
      <c r="B36" s="46" t="s">
        <v>38</v>
      </c>
      <c r="C36" s="47" t="s">
        <v>50</v>
      </c>
      <c r="D36" s="100"/>
      <c r="E36" s="19"/>
      <c r="F36" s="19"/>
      <c r="G36" s="19"/>
      <c r="H36" s="130">
        <f t="shared" ref="H36:N36" si="48">H37*12*0.47/146</f>
        <v>1375.9467896747738</v>
      </c>
      <c r="I36" s="138">
        <f t="shared" si="48"/>
        <v>1394.5326157860404</v>
      </c>
      <c r="J36" s="131">
        <f t="shared" si="48"/>
        <v>1405.4822010996179</v>
      </c>
      <c r="K36" s="140">
        <f t="shared" si="48"/>
        <v>1416.4317864131954</v>
      </c>
      <c r="L36" s="140">
        <f t="shared" si="48"/>
        <v>1427.3813717267726</v>
      </c>
      <c r="M36" s="140">
        <f t="shared" si="48"/>
        <v>1438.3309570403503</v>
      </c>
      <c r="N36" s="140">
        <f t="shared" si="48"/>
        <v>1449.2805423539278</v>
      </c>
      <c r="O36" s="114"/>
      <c r="P36" s="114"/>
    </row>
    <row r="37" spans="1:16" x14ac:dyDescent="0.3">
      <c r="A37" s="45"/>
      <c r="B37" s="46"/>
      <c r="C37" s="47" t="s">
        <v>51</v>
      </c>
      <c r="D37" s="100"/>
      <c r="E37" s="19"/>
      <c r="F37" s="19"/>
      <c r="G37" s="19"/>
      <c r="H37" s="19">
        <f t="shared" ref="H37:N37" si="49">(H35*100)/(147*12)</f>
        <v>35618.48072562358</v>
      </c>
      <c r="I37" s="20">
        <f t="shared" si="49"/>
        <v>36099.603174603173</v>
      </c>
      <c r="J37" s="48">
        <f t="shared" si="49"/>
        <v>36383.049886621317</v>
      </c>
      <c r="K37" s="142">
        <f t="shared" si="49"/>
        <v>36666.496598639453</v>
      </c>
      <c r="L37" s="142">
        <f t="shared" si="49"/>
        <v>36949.943310657596</v>
      </c>
      <c r="M37" s="142">
        <f t="shared" si="49"/>
        <v>37233.39002267574</v>
      </c>
      <c r="N37" s="142">
        <f t="shared" si="49"/>
        <v>37516.836734693876</v>
      </c>
      <c r="O37" s="22"/>
      <c r="P37" s="22"/>
    </row>
    <row r="38" spans="1:16" x14ac:dyDescent="0.3">
      <c r="A38" s="45"/>
      <c r="B38" s="46"/>
      <c r="C38" s="47" t="s">
        <v>52</v>
      </c>
      <c r="D38" s="100"/>
      <c r="E38" s="19"/>
      <c r="F38" s="19"/>
      <c r="G38" s="19"/>
      <c r="H38" s="19">
        <f t="shared" ref="H38:N38" si="50">H37*47.08/52.14</f>
        <v>32161.834916807788</v>
      </c>
      <c r="I38" s="20">
        <f t="shared" si="50"/>
        <v>32596.26615765856</v>
      </c>
      <c r="J38" s="48">
        <f t="shared" si="50"/>
        <v>32852.20538285638</v>
      </c>
      <c r="K38" s="142">
        <f t="shared" si="50"/>
        <v>33108.144608054186</v>
      </c>
      <c r="L38" s="142">
        <f t="shared" si="50"/>
        <v>33364.083833252007</v>
      </c>
      <c r="M38" s="142">
        <f t="shared" si="50"/>
        <v>33620.02305844982</v>
      </c>
      <c r="N38" s="142">
        <f t="shared" si="50"/>
        <v>33875.962283647634</v>
      </c>
      <c r="O38" s="22"/>
      <c r="P38" s="22"/>
    </row>
    <row r="39" spans="1:16" x14ac:dyDescent="0.3">
      <c r="A39" s="45"/>
      <c r="B39" s="46"/>
      <c r="C39" s="51" t="s">
        <v>53</v>
      </c>
      <c r="D39" s="101"/>
      <c r="E39" s="24"/>
      <c r="F39" s="24"/>
      <c r="G39" s="24"/>
      <c r="H39" s="24">
        <f t="shared" ref="H39:N39" si="51">H35/1752</f>
        <v>358.6244292237443</v>
      </c>
      <c r="I39" s="25">
        <f t="shared" si="51"/>
        <v>363.46860730593608</v>
      </c>
      <c r="J39" s="52">
        <f t="shared" si="51"/>
        <v>366.32248858447491</v>
      </c>
      <c r="K39" s="141">
        <f t="shared" si="51"/>
        <v>369.17636986301369</v>
      </c>
      <c r="L39" s="141">
        <f t="shared" si="51"/>
        <v>372.03025114155253</v>
      </c>
      <c r="M39" s="141">
        <f t="shared" si="51"/>
        <v>374.8841324200913</v>
      </c>
      <c r="N39" s="141">
        <f t="shared" si="51"/>
        <v>377.73801369863014</v>
      </c>
      <c r="O39" s="22"/>
      <c r="P39" s="22"/>
    </row>
    <row r="40" spans="1:16" x14ac:dyDescent="0.3">
      <c r="A40" s="45"/>
      <c r="B40" s="46"/>
      <c r="C40" s="51" t="s">
        <v>54</v>
      </c>
      <c r="D40" s="101"/>
      <c r="E40" s="24"/>
      <c r="F40" s="24"/>
      <c r="G40" s="24"/>
      <c r="H40" s="24">
        <f t="shared" ref="H40:N40" si="52">H35/1752*1.65</f>
        <v>591.73030821917803</v>
      </c>
      <c r="I40" s="25">
        <f t="shared" si="52"/>
        <v>599.72320205479446</v>
      </c>
      <c r="J40" s="52">
        <f t="shared" si="52"/>
        <v>604.43210616438353</v>
      </c>
      <c r="K40" s="141">
        <f t="shared" si="52"/>
        <v>609.1410102739726</v>
      </c>
      <c r="L40" s="141">
        <f t="shared" si="52"/>
        <v>613.84991438356167</v>
      </c>
      <c r="M40" s="141">
        <f t="shared" si="52"/>
        <v>618.55881849315062</v>
      </c>
      <c r="N40" s="141">
        <f t="shared" si="52"/>
        <v>623.2677226027397</v>
      </c>
      <c r="O40" s="22"/>
      <c r="P40" s="22"/>
    </row>
    <row r="41" spans="1:16" x14ac:dyDescent="0.3">
      <c r="A41" s="45"/>
      <c r="B41" s="46"/>
      <c r="C41" s="51" t="s">
        <v>55</v>
      </c>
      <c r="D41" s="101"/>
      <c r="E41" s="24"/>
      <c r="F41" s="24"/>
      <c r="G41" s="24"/>
      <c r="H41" s="24">
        <f t="shared" ref="H41:N41" si="53">H37/162.5</f>
        <v>219.19065061922203</v>
      </c>
      <c r="I41" s="25">
        <f t="shared" si="53"/>
        <v>222.15140415140414</v>
      </c>
      <c r="J41" s="52">
        <f t="shared" si="53"/>
        <v>223.89569160997732</v>
      </c>
      <c r="K41" s="141">
        <f t="shared" si="53"/>
        <v>225.63997906855047</v>
      </c>
      <c r="L41" s="141">
        <f t="shared" si="53"/>
        <v>227.38426652712366</v>
      </c>
      <c r="M41" s="141">
        <f t="shared" si="53"/>
        <v>229.12855398569687</v>
      </c>
      <c r="N41" s="141">
        <f t="shared" si="53"/>
        <v>230.87284144426999</v>
      </c>
      <c r="O41" s="22"/>
      <c r="P41" s="22"/>
    </row>
    <row r="42" spans="1:16" x14ac:dyDescent="0.3">
      <c r="A42" s="45"/>
      <c r="B42" s="46"/>
      <c r="C42" s="51" t="s">
        <v>56</v>
      </c>
      <c r="D42" s="101"/>
      <c r="E42" s="24"/>
      <c r="F42" s="24"/>
      <c r="G42" s="24"/>
      <c r="H42" s="24">
        <f t="shared" ref="H42:N42" si="54">H41*1.5</f>
        <v>328.78597592883307</v>
      </c>
      <c r="I42" s="25">
        <f t="shared" si="54"/>
        <v>333.22710622710622</v>
      </c>
      <c r="J42" s="52">
        <f t="shared" si="54"/>
        <v>335.84353741496597</v>
      </c>
      <c r="K42" s="141">
        <f t="shared" si="54"/>
        <v>338.45996860282571</v>
      </c>
      <c r="L42" s="141">
        <f t="shared" si="54"/>
        <v>341.07639979068551</v>
      </c>
      <c r="M42" s="141">
        <f t="shared" si="54"/>
        <v>343.69283097854532</v>
      </c>
      <c r="N42" s="141">
        <f t="shared" si="54"/>
        <v>346.30926216640501</v>
      </c>
      <c r="O42" s="22"/>
      <c r="P42" s="22"/>
    </row>
    <row r="43" spans="1:16" ht="15" thickBot="1" x14ac:dyDescent="0.35">
      <c r="A43" s="70"/>
      <c r="B43" s="72"/>
      <c r="C43" s="57" t="s">
        <v>57</v>
      </c>
      <c r="D43" s="102"/>
      <c r="E43" s="27"/>
      <c r="F43" s="27"/>
      <c r="G43" s="27"/>
      <c r="H43" s="27">
        <f t="shared" ref="H43:N43" si="55">H41*2</f>
        <v>438.38130123844405</v>
      </c>
      <c r="I43" s="28">
        <f t="shared" si="55"/>
        <v>444.30280830280827</v>
      </c>
      <c r="J43" s="58">
        <f t="shared" si="55"/>
        <v>447.79138321995464</v>
      </c>
      <c r="K43" s="143">
        <f t="shared" si="55"/>
        <v>451.27995813710095</v>
      </c>
      <c r="L43" s="143">
        <f t="shared" si="55"/>
        <v>454.76853305424731</v>
      </c>
      <c r="M43" s="143">
        <f t="shared" si="55"/>
        <v>458.25710797139374</v>
      </c>
      <c r="N43" s="143">
        <f t="shared" si="55"/>
        <v>461.74568288853999</v>
      </c>
      <c r="O43" s="115"/>
      <c r="P43" s="115"/>
    </row>
    <row r="44" spans="1:16" x14ac:dyDescent="0.3">
      <c r="A44" s="10" t="s">
        <v>39</v>
      </c>
      <c r="B44" s="10"/>
      <c r="C44" s="10"/>
      <c r="D44" s="10"/>
      <c r="E44" s="10"/>
      <c r="F44" s="10"/>
      <c r="G44" s="10"/>
      <c r="H44" s="31"/>
      <c r="I44" s="31"/>
      <c r="J44" s="31"/>
      <c r="K44" s="31"/>
      <c r="L44" s="31"/>
    </row>
    <row r="45" spans="1:16" ht="16.5" customHeight="1" x14ac:dyDescent="0.3">
      <c r="A45" s="32" t="s">
        <v>40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6" ht="9.75" customHeight="1" x14ac:dyDescent="0.3">
      <c r="I46" s="11"/>
      <c r="J46" s="11"/>
      <c r="K46" s="11"/>
      <c r="L46" s="11"/>
      <c r="M46" s="10"/>
      <c r="N46" s="10"/>
    </row>
    <row r="47" spans="1:16" x14ac:dyDescent="0.3">
      <c r="A47" s="73" t="s">
        <v>98</v>
      </c>
      <c r="B47" s="74"/>
      <c r="C47" s="74"/>
      <c r="D47" s="75"/>
      <c r="E47" s="75"/>
      <c r="F47" s="75"/>
      <c r="G47" s="76"/>
      <c r="H47" s="76"/>
      <c r="N47" s="10"/>
    </row>
    <row r="48" spans="1:16" x14ac:dyDescent="0.3">
      <c r="A48" s="77" t="s">
        <v>42</v>
      </c>
      <c r="B48" s="78"/>
      <c r="C48" s="77" t="s">
        <v>44</v>
      </c>
      <c r="D48" s="79"/>
      <c r="E48" s="77" t="s">
        <v>46</v>
      </c>
      <c r="F48" s="79"/>
      <c r="G48" s="77" t="s">
        <v>47</v>
      </c>
      <c r="H48" s="79"/>
      <c r="I48" s="112" t="s">
        <v>64</v>
      </c>
      <c r="J48" s="113"/>
      <c r="N48" s="10"/>
    </row>
    <row r="49" spans="1:10" x14ac:dyDescent="0.3">
      <c r="A49" s="77" t="s">
        <v>43</v>
      </c>
      <c r="B49" s="78"/>
      <c r="C49" s="77" t="s">
        <v>45</v>
      </c>
      <c r="D49" s="79"/>
      <c r="E49" s="80" t="s">
        <v>58</v>
      </c>
      <c r="F49" s="81"/>
      <c r="G49" s="77" t="s">
        <v>59</v>
      </c>
      <c r="H49" s="79"/>
      <c r="I49" s="112" t="s">
        <v>65</v>
      </c>
      <c r="J49" s="113"/>
    </row>
    <row r="50" spans="1:10" ht="18" customHeight="1" x14ac:dyDescent="0.3">
      <c r="A50" s="82" t="s">
        <v>60</v>
      </c>
    </row>
    <row r="54" spans="1:10" x14ac:dyDescent="0.3">
      <c r="A54" t="s">
        <v>93</v>
      </c>
    </row>
    <row r="57" spans="1:10" x14ac:dyDescent="0.3">
      <c r="A57" s="82" t="s">
        <v>94</v>
      </c>
      <c r="B57" s="82"/>
      <c r="C57" s="82"/>
    </row>
    <row r="58" spans="1:10" x14ac:dyDescent="0.3">
      <c r="A58" t="s">
        <v>95</v>
      </c>
    </row>
    <row r="59" spans="1:10" x14ac:dyDescent="0.3">
      <c r="A59" t="s">
        <v>96</v>
      </c>
    </row>
    <row r="61" spans="1:10" x14ac:dyDescent="0.3">
      <c r="A61" t="s">
        <v>97</v>
      </c>
    </row>
  </sheetData>
  <mergeCells count="1">
    <mergeCell ref="G4:N4"/>
  </mergeCells>
  <pageMargins left="0.51181102362204722" right="0.31496062992125984" top="0.55118110236220474" bottom="0.35433070866141736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1"/>
  <sheetViews>
    <sheetView tabSelected="1" zoomScale="90" zoomScaleNormal="90" workbookViewId="0">
      <selection activeCell="F26" sqref="F26"/>
    </sheetView>
  </sheetViews>
  <sheetFormatPr baseColWidth="10" defaultRowHeight="14.4" x14ac:dyDescent="0.3"/>
  <cols>
    <col min="1" max="1" width="5.44140625" customWidth="1"/>
    <col min="2" max="2" width="22" customWidth="1"/>
    <col min="3" max="3" width="17" customWidth="1"/>
    <col min="4" max="4" width="13.6640625" customWidth="1"/>
    <col min="5" max="5" width="13.5546875" customWidth="1"/>
    <col min="6" max="12" width="13.6640625" customWidth="1"/>
    <col min="13" max="13" width="12.5546875" customWidth="1"/>
    <col min="14" max="14" width="11.88671875" customWidth="1"/>
    <col min="257" max="257" width="5.44140625" customWidth="1"/>
    <col min="258" max="258" width="22" customWidth="1"/>
    <col min="259" max="259" width="17" customWidth="1"/>
    <col min="260" max="260" width="13.6640625" customWidth="1"/>
    <col min="261" max="261" width="15.88671875" customWidth="1"/>
    <col min="262" max="268" width="13.6640625" customWidth="1"/>
    <col min="269" max="269" width="12.5546875" customWidth="1"/>
    <col min="270" max="270" width="11.88671875" customWidth="1"/>
    <col min="513" max="513" width="5.44140625" customWidth="1"/>
    <col min="514" max="514" width="22" customWidth="1"/>
    <col min="515" max="515" width="17" customWidth="1"/>
    <col min="516" max="516" width="13.6640625" customWidth="1"/>
    <col min="517" max="517" width="15.88671875" customWidth="1"/>
    <col min="518" max="524" width="13.6640625" customWidth="1"/>
    <col min="525" max="525" width="12.5546875" customWidth="1"/>
    <col min="526" max="526" width="11.88671875" customWidth="1"/>
    <col min="769" max="769" width="5.44140625" customWidth="1"/>
    <col min="770" max="770" width="22" customWidth="1"/>
    <col min="771" max="771" width="17" customWidth="1"/>
    <col min="772" max="772" width="13.6640625" customWidth="1"/>
    <col min="773" max="773" width="15.88671875" customWidth="1"/>
    <col min="774" max="780" width="13.6640625" customWidth="1"/>
    <col min="781" max="781" width="12.5546875" customWidth="1"/>
    <col min="782" max="782" width="11.88671875" customWidth="1"/>
    <col min="1025" max="1025" width="5.44140625" customWidth="1"/>
    <col min="1026" max="1026" width="22" customWidth="1"/>
    <col min="1027" max="1027" width="17" customWidth="1"/>
    <col min="1028" max="1028" width="13.6640625" customWidth="1"/>
    <col min="1029" max="1029" width="15.88671875" customWidth="1"/>
    <col min="1030" max="1036" width="13.6640625" customWidth="1"/>
    <col min="1037" max="1037" width="12.5546875" customWidth="1"/>
    <col min="1038" max="1038" width="11.88671875" customWidth="1"/>
    <col min="1281" max="1281" width="5.44140625" customWidth="1"/>
    <col min="1282" max="1282" width="22" customWidth="1"/>
    <col min="1283" max="1283" width="17" customWidth="1"/>
    <col min="1284" max="1284" width="13.6640625" customWidth="1"/>
    <col min="1285" max="1285" width="15.88671875" customWidth="1"/>
    <col min="1286" max="1292" width="13.6640625" customWidth="1"/>
    <col min="1293" max="1293" width="12.5546875" customWidth="1"/>
    <col min="1294" max="1294" width="11.88671875" customWidth="1"/>
    <col min="1537" max="1537" width="5.44140625" customWidth="1"/>
    <col min="1538" max="1538" width="22" customWidth="1"/>
    <col min="1539" max="1539" width="17" customWidth="1"/>
    <col min="1540" max="1540" width="13.6640625" customWidth="1"/>
    <col min="1541" max="1541" width="15.88671875" customWidth="1"/>
    <col min="1542" max="1548" width="13.6640625" customWidth="1"/>
    <col min="1549" max="1549" width="12.5546875" customWidth="1"/>
    <col min="1550" max="1550" width="11.88671875" customWidth="1"/>
    <col min="1793" max="1793" width="5.44140625" customWidth="1"/>
    <col min="1794" max="1794" width="22" customWidth="1"/>
    <col min="1795" max="1795" width="17" customWidth="1"/>
    <col min="1796" max="1796" width="13.6640625" customWidth="1"/>
    <col min="1797" max="1797" width="15.88671875" customWidth="1"/>
    <col min="1798" max="1804" width="13.6640625" customWidth="1"/>
    <col min="1805" max="1805" width="12.5546875" customWidth="1"/>
    <col min="1806" max="1806" width="11.88671875" customWidth="1"/>
    <col min="2049" max="2049" width="5.44140625" customWidth="1"/>
    <col min="2050" max="2050" width="22" customWidth="1"/>
    <col min="2051" max="2051" width="17" customWidth="1"/>
    <col min="2052" max="2052" width="13.6640625" customWidth="1"/>
    <col min="2053" max="2053" width="15.88671875" customWidth="1"/>
    <col min="2054" max="2060" width="13.6640625" customWidth="1"/>
    <col min="2061" max="2061" width="12.5546875" customWidth="1"/>
    <col min="2062" max="2062" width="11.88671875" customWidth="1"/>
    <col min="2305" max="2305" width="5.44140625" customWidth="1"/>
    <col min="2306" max="2306" width="22" customWidth="1"/>
    <col min="2307" max="2307" width="17" customWidth="1"/>
    <col min="2308" max="2308" width="13.6640625" customWidth="1"/>
    <col min="2309" max="2309" width="15.88671875" customWidth="1"/>
    <col min="2310" max="2316" width="13.6640625" customWidth="1"/>
    <col min="2317" max="2317" width="12.5546875" customWidth="1"/>
    <col min="2318" max="2318" width="11.88671875" customWidth="1"/>
    <col min="2561" max="2561" width="5.44140625" customWidth="1"/>
    <col min="2562" max="2562" width="22" customWidth="1"/>
    <col min="2563" max="2563" width="17" customWidth="1"/>
    <col min="2564" max="2564" width="13.6640625" customWidth="1"/>
    <col min="2565" max="2565" width="15.88671875" customWidth="1"/>
    <col min="2566" max="2572" width="13.6640625" customWidth="1"/>
    <col min="2573" max="2573" width="12.5546875" customWidth="1"/>
    <col min="2574" max="2574" width="11.88671875" customWidth="1"/>
    <col min="2817" max="2817" width="5.44140625" customWidth="1"/>
    <col min="2818" max="2818" width="22" customWidth="1"/>
    <col min="2819" max="2819" width="17" customWidth="1"/>
    <col min="2820" max="2820" width="13.6640625" customWidth="1"/>
    <col min="2821" max="2821" width="15.88671875" customWidth="1"/>
    <col min="2822" max="2828" width="13.6640625" customWidth="1"/>
    <col min="2829" max="2829" width="12.5546875" customWidth="1"/>
    <col min="2830" max="2830" width="11.88671875" customWidth="1"/>
    <col min="3073" max="3073" width="5.44140625" customWidth="1"/>
    <col min="3074" max="3074" width="22" customWidth="1"/>
    <col min="3075" max="3075" width="17" customWidth="1"/>
    <col min="3076" max="3076" width="13.6640625" customWidth="1"/>
    <col min="3077" max="3077" width="15.88671875" customWidth="1"/>
    <col min="3078" max="3084" width="13.6640625" customWidth="1"/>
    <col min="3085" max="3085" width="12.5546875" customWidth="1"/>
    <col min="3086" max="3086" width="11.88671875" customWidth="1"/>
    <col min="3329" max="3329" width="5.44140625" customWidth="1"/>
    <col min="3330" max="3330" width="22" customWidth="1"/>
    <col min="3331" max="3331" width="17" customWidth="1"/>
    <col min="3332" max="3332" width="13.6640625" customWidth="1"/>
    <col min="3333" max="3333" width="15.88671875" customWidth="1"/>
    <col min="3334" max="3340" width="13.6640625" customWidth="1"/>
    <col min="3341" max="3341" width="12.5546875" customWidth="1"/>
    <col min="3342" max="3342" width="11.88671875" customWidth="1"/>
    <col min="3585" max="3585" width="5.44140625" customWidth="1"/>
    <col min="3586" max="3586" width="22" customWidth="1"/>
    <col min="3587" max="3587" width="17" customWidth="1"/>
    <col min="3588" max="3588" width="13.6640625" customWidth="1"/>
    <col min="3589" max="3589" width="15.88671875" customWidth="1"/>
    <col min="3590" max="3596" width="13.6640625" customWidth="1"/>
    <col min="3597" max="3597" width="12.5546875" customWidth="1"/>
    <col min="3598" max="3598" width="11.88671875" customWidth="1"/>
    <col min="3841" max="3841" width="5.44140625" customWidth="1"/>
    <col min="3842" max="3842" width="22" customWidth="1"/>
    <col min="3843" max="3843" width="17" customWidth="1"/>
    <col min="3844" max="3844" width="13.6640625" customWidth="1"/>
    <col min="3845" max="3845" width="15.88671875" customWidth="1"/>
    <col min="3846" max="3852" width="13.6640625" customWidth="1"/>
    <col min="3853" max="3853" width="12.5546875" customWidth="1"/>
    <col min="3854" max="3854" width="11.88671875" customWidth="1"/>
    <col min="4097" max="4097" width="5.44140625" customWidth="1"/>
    <col min="4098" max="4098" width="22" customWidth="1"/>
    <col min="4099" max="4099" width="17" customWidth="1"/>
    <col min="4100" max="4100" width="13.6640625" customWidth="1"/>
    <col min="4101" max="4101" width="15.88671875" customWidth="1"/>
    <col min="4102" max="4108" width="13.6640625" customWidth="1"/>
    <col min="4109" max="4109" width="12.5546875" customWidth="1"/>
    <col min="4110" max="4110" width="11.88671875" customWidth="1"/>
    <col min="4353" max="4353" width="5.44140625" customWidth="1"/>
    <col min="4354" max="4354" width="22" customWidth="1"/>
    <col min="4355" max="4355" width="17" customWidth="1"/>
    <col min="4356" max="4356" width="13.6640625" customWidth="1"/>
    <col min="4357" max="4357" width="15.88671875" customWidth="1"/>
    <col min="4358" max="4364" width="13.6640625" customWidth="1"/>
    <col min="4365" max="4365" width="12.5546875" customWidth="1"/>
    <col min="4366" max="4366" width="11.88671875" customWidth="1"/>
    <col min="4609" max="4609" width="5.44140625" customWidth="1"/>
    <col min="4610" max="4610" width="22" customWidth="1"/>
    <col min="4611" max="4611" width="17" customWidth="1"/>
    <col min="4612" max="4612" width="13.6640625" customWidth="1"/>
    <col min="4613" max="4613" width="15.88671875" customWidth="1"/>
    <col min="4614" max="4620" width="13.6640625" customWidth="1"/>
    <col min="4621" max="4621" width="12.5546875" customWidth="1"/>
    <col min="4622" max="4622" width="11.88671875" customWidth="1"/>
    <col min="4865" max="4865" width="5.44140625" customWidth="1"/>
    <col min="4866" max="4866" width="22" customWidth="1"/>
    <col min="4867" max="4867" width="17" customWidth="1"/>
    <col min="4868" max="4868" width="13.6640625" customWidth="1"/>
    <col min="4869" max="4869" width="15.88671875" customWidth="1"/>
    <col min="4870" max="4876" width="13.6640625" customWidth="1"/>
    <col min="4877" max="4877" width="12.5546875" customWidth="1"/>
    <col min="4878" max="4878" width="11.88671875" customWidth="1"/>
    <col min="5121" max="5121" width="5.44140625" customWidth="1"/>
    <col min="5122" max="5122" width="22" customWidth="1"/>
    <col min="5123" max="5123" width="17" customWidth="1"/>
    <col min="5124" max="5124" width="13.6640625" customWidth="1"/>
    <col min="5125" max="5125" width="15.88671875" customWidth="1"/>
    <col min="5126" max="5132" width="13.6640625" customWidth="1"/>
    <col min="5133" max="5133" width="12.5546875" customWidth="1"/>
    <col min="5134" max="5134" width="11.88671875" customWidth="1"/>
    <col min="5377" max="5377" width="5.44140625" customWidth="1"/>
    <col min="5378" max="5378" width="22" customWidth="1"/>
    <col min="5379" max="5379" width="17" customWidth="1"/>
    <col min="5380" max="5380" width="13.6640625" customWidth="1"/>
    <col min="5381" max="5381" width="15.88671875" customWidth="1"/>
    <col min="5382" max="5388" width="13.6640625" customWidth="1"/>
    <col min="5389" max="5389" width="12.5546875" customWidth="1"/>
    <col min="5390" max="5390" width="11.88671875" customWidth="1"/>
    <col min="5633" max="5633" width="5.44140625" customWidth="1"/>
    <col min="5634" max="5634" width="22" customWidth="1"/>
    <col min="5635" max="5635" width="17" customWidth="1"/>
    <col min="5636" max="5636" width="13.6640625" customWidth="1"/>
    <col min="5637" max="5637" width="15.88671875" customWidth="1"/>
    <col min="5638" max="5644" width="13.6640625" customWidth="1"/>
    <col min="5645" max="5645" width="12.5546875" customWidth="1"/>
    <col min="5646" max="5646" width="11.88671875" customWidth="1"/>
    <col min="5889" max="5889" width="5.44140625" customWidth="1"/>
    <col min="5890" max="5890" width="22" customWidth="1"/>
    <col min="5891" max="5891" width="17" customWidth="1"/>
    <col min="5892" max="5892" width="13.6640625" customWidth="1"/>
    <col min="5893" max="5893" width="15.88671875" customWidth="1"/>
    <col min="5894" max="5900" width="13.6640625" customWidth="1"/>
    <col min="5901" max="5901" width="12.5546875" customWidth="1"/>
    <col min="5902" max="5902" width="11.88671875" customWidth="1"/>
    <col min="6145" max="6145" width="5.44140625" customWidth="1"/>
    <col min="6146" max="6146" width="22" customWidth="1"/>
    <col min="6147" max="6147" width="17" customWidth="1"/>
    <col min="6148" max="6148" width="13.6640625" customWidth="1"/>
    <col min="6149" max="6149" width="15.88671875" customWidth="1"/>
    <col min="6150" max="6156" width="13.6640625" customWidth="1"/>
    <col min="6157" max="6157" width="12.5546875" customWidth="1"/>
    <col min="6158" max="6158" width="11.88671875" customWidth="1"/>
    <col min="6401" max="6401" width="5.44140625" customWidth="1"/>
    <col min="6402" max="6402" width="22" customWidth="1"/>
    <col min="6403" max="6403" width="17" customWidth="1"/>
    <col min="6404" max="6404" width="13.6640625" customWidth="1"/>
    <col min="6405" max="6405" width="15.88671875" customWidth="1"/>
    <col min="6406" max="6412" width="13.6640625" customWidth="1"/>
    <col min="6413" max="6413" width="12.5546875" customWidth="1"/>
    <col min="6414" max="6414" width="11.88671875" customWidth="1"/>
    <col min="6657" max="6657" width="5.44140625" customWidth="1"/>
    <col min="6658" max="6658" width="22" customWidth="1"/>
    <col min="6659" max="6659" width="17" customWidth="1"/>
    <col min="6660" max="6660" width="13.6640625" customWidth="1"/>
    <col min="6661" max="6661" width="15.88671875" customWidth="1"/>
    <col min="6662" max="6668" width="13.6640625" customWidth="1"/>
    <col min="6669" max="6669" width="12.5546875" customWidth="1"/>
    <col min="6670" max="6670" width="11.88671875" customWidth="1"/>
    <col min="6913" max="6913" width="5.44140625" customWidth="1"/>
    <col min="6914" max="6914" width="22" customWidth="1"/>
    <col min="6915" max="6915" width="17" customWidth="1"/>
    <col min="6916" max="6916" width="13.6640625" customWidth="1"/>
    <col min="6917" max="6917" width="15.88671875" customWidth="1"/>
    <col min="6918" max="6924" width="13.6640625" customWidth="1"/>
    <col min="6925" max="6925" width="12.5546875" customWidth="1"/>
    <col min="6926" max="6926" width="11.88671875" customWidth="1"/>
    <col min="7169" max="7169" width="5.44140625" customWidth="1"/>
    <col min="7170" max="7170" width="22" customWidth="1"/>
    <col min="7171" max="7171" width="17" customWidth="1"/>
    <col min="7172" max="7172" width="13.6640625" customWidth="1"/>
    <col min="7173" max="7173" width="15.88671875" customWidth="1"/>
    <col min="7174" max="7180" width="13.6640625" customWidth="1"/>
    <col min="7181" max="7181" width="12.5546875" customWidth="1"/>
    <col min="7182" max="7182" width="11.88671875" customWidth="1"/>
    <col min="7425" max="7425" width="5.44140625" customWidth="1"/>
    <col min="7426" max="7426" width="22" customWidth="1"/>
    <col min="7427" max="7427" width="17" customWidth="1"/>
    <col min="7428" max="7428" width="13.6640625" customWidth="1"/>
    <col min="7429" max="7429" width="15.88671875" customWidth="1"/>
    <col min="7430" max="7436" width="13.6640625" customWidth="1"/>
    <col min="7437" max="7437" width="12.5546875" customWidth="1"/>
    <col min="7438" max="7438" width="11.88671875" customWidth="1"/>
    <col min="7681" max="7681" width="5.44140625" customWidth="1"/>
    <col min="7682" max="7682" width="22" customWidth="1"/>
    <col min="7683" max="7683" width="17" customWidth="1"/>
    <col min="7684" max="7684" width="13.6640625" customWidth="1"/>
    <col min="7685" max="7685" width="15.88671875" customWidth="1"/>
    <col min="7686" max="7692" width="13.6640625" customWidth="1"/>
    <col min="7693" max="7693" width="12.5546875" customWidth="1"/>
    <col min="7694" max="7694" width="11.88671875" customWidth="1"/>
    <col min="7937" max="7937" width="5.44140625" customWidth="1"/>
    <col min="7938" max="7938" width="22" customWidth="1"/>
    <col min="7939" max="7939" width="17" customWidth="1"/>
    <col min="7940" max="7940" width="13.6640625" customWidth="1"/>
    <col min="7941" max="7941" width="15.88671875" customWidth="1"/>
    <col min="7942" max="7948" width="13.6640625" customWidth="1"/>
    <col min="7949" max="7949" width="12.5546875" customWidth="1"/>
    <col min="7950" max="7950" width="11.88671875" customWidth="1"/>
    <col min="8193" max="8193" width="5.44140625" customWidth="1"/>
    <col min="8194" max="8194" width="22" customWidth="1"/>
    <col min="8195" max="8195" width="17" customWidth="1"/>
    <col min="8196" max="8196" width="13.6640625" customWidth="1"/>
    <col min="8197" max="8197" width="15.88671875" customWidth="1"/>
    <col min="8198" max="8204" width="13.6640625" customWidth="1"/>
    <col min="8205" max="8205" width="12.5546875" customWidth="1"/>
    <col min="8206" max="8206" width="11.88671875" customWidth="1"/>
    <col min="8449" max="8449" width="5.44140625" customWidth="1"/>
    <col min="8450" max="8450" width="22" customWidth="1"/>
    <col min="8451" max="8451" width="17" customWidth="1"/>
    <col min="8452" max="8452" width="13.6640625" customWidth="1"/>
    <col min="8453" max="8453" width="15.88671875" customWidth="1"/>
    <col min="8454" max="8460" width="13.6640625" customWidth="1"/>
    <col min="8461" max="8461" width="12.5546875" customWidth="1"/>
    <col min="8462" max="8462" width="11.88671875" customWidth="1"/>
    <col min="8705" max="8705" width="5.44140625" customWidth="1"/>
    <col min="8706" max="8706" width="22" customWidth="1"/>
    <col min="8707" max="8707" width="17" customWidth="1"/>
    <col min="8708" max="8708" width="13.6640625" customWidth="1"/>
    <col min="8709" max="8709" width="15.88671875" customWidth="1"/>
    <col min="8710" max="8716" width="13.6640625" customWidth="1"/>
    <col min="8717" max="8717" width="12.5546875" customWidth="1"/>
    <col min="8718" max="8718" width="11.88671875" customWidth="1"/>
    <col min="8961" max="8961" width="5.44140625" customWidth="1"/>
    <col min="8962" max="8962" width="22" customWidth="1"/>
    <col min="8963" max="8963" width="17" customWidth="1"/>
    <col min="8964" max="8964" width="13.6640625" customWidth="1"/>
    <col min="8965" max="8965" width="15.88671875" customWidth="1"/>
    <col min="8966" max="8972" width="13.6640625" customWidth="1"/>
    <col min="8973" max="8973" width="12.5546875" customWidth="1"/>
    <col min="8974" max="8974" width="11.88671875" customWidth="1"/>
    <col min="9217" max="9217" width="5.44140625" customWidth="1"/>
    <col min="9218" max="9218" width="22" customWidth="1"/>
    <col min="9219" max="9219" width="17" customWidth="1"/>
    <col min="9220" max="9220" width="13.6640625" customWidth="1"/>
    <col min="9221" max="9221" width="15.88671875" customWidth="1"/>
    <col min="9222" max="9228" width="13.6640625" customWidth="1"/>
    <col min="9229" max="9229" width="12.5546875" customWidth="1"/>
    <col min="9230" max="9230" width="11.88671875" customWidth="1"/>
    <col min="9473" max="9473" width="5.44140625" customWidth="1"/>
    <col min="9474" max="9474" width="22" customWidth="1"/>
    <col min="9475" max="9475" width="17" customWidth="1"/>
    <col min="9476" max="9476" width="13.6640625" customWidth="1"/>
    <col min="9477" max="9477" width="15.88671875" customWidth="1"/>
    <col min="9478" max="9484" width="13.6640625" customWidth="1"/>
    <col min="9485" max="9485" width="12.5546875" customWidth="1"/>
    <col min="9486" max="9486" width="11.88671875" customWidth="1"/>
    <col min="9729" max="9729" width="5.44140625" customWidth="1"/>
    <col min="9730" max="9730" width="22" customWidth="1"/>
    <col min="9731" max="9731" width="17" customWidth="1"/>
    <col min="9732" max="9732" width="13.6640625" customWidth="1"/>
    <col min="9733" max="9733" width="15.88671875" customWidth="1"/>
    <col min="9734" max="9740" width="13.6640625" customWidth="1"/>
    <col min="9741" max="9741" width="12.5546875" customWidth="1"/>
    <col min="9742" max="9742" width="11.88671875" customWidth="1"/>
    <col min="9985" max="9985" width="5.44140625" customWidth="1"/>
    <col min="9986" max="9986" width="22" customWidth="1"/>
    <col min="9987" max="9987" width="17" customWidth="1"/>
    <col min="9988" max="9988" width="13.6640625" customWidth="1"/>
    <col min="9989" max="9989" width="15.88671875" customWidth="1"/>
    <col min="9990" max="9996" width="13.6640625" customWidth="1"/>
    <col min="9997" max="9997" width="12.5546875" customWidth="1"/>
    <col min="9998" max="9998" width="11.88671875" customWidth="1"/>
    <col min="10241" max="10241" width="5.44140625" customWidth="1"/>
    <col min="10242" max="10242" width="22" customWidth="1"/>
    <col min="10243" max="10243" width="17" customWidth="1"/>
    <col min="10244" max="10244" width="13.6640625" customWidth="1"/>
    <col min="10245" max="10245" width="15.88671875" customWidth="1"/>
    <col min="10246" max="10252" width="13.6640625" customWidth="1"/>
    <col min="10253" max="10253" width="12.5546875" customWidth="1"/>
    <col min="10254" max="10254" width="11.88671875" customWidth="1"/>
    <col min="10497" max="10497" width="5.44140625" customWidth="1"/>
    <col min="10498" max="10498" width="22" customWidth="1"/>
    <col min="10499" max="10499" width="17" customWidth="1"/>
    <col min="10500" max="10500" width="13.6640625" customWidth="1"/>
    <col min="10501" max="10501" width="15.88671875" customWidth="1"/>
    <col min="10502" max="10508" width="13.6640625" customWidth="1"/>
    <col min="10509" max="10509" width="12.5546875" customWidth="1"/>
    <col min="10510" max="10510" width="11.88671875" customWidth="1"/>
    <col min="10753" max="10753" width="5.44140625" customWidth="1"/>
    <col min="10754" max="10754" width="22" customWidth="1"/>
    <col min="10755" max="10755" width="17" customWidth="1"/>
    <col min="10756" max="10756" width="13.6640625" customWidth="1"/>
    <col min="10757" max="10757" width="15.88671875" customWidth="1"/>
    <col min="10758" max="10764" width="13.6640625" customWidth="1"/>
    <col min="10765" max="10765" width="12.5546875" customWidth="1"/>
    <col min="10766" max="10766" width="11.88671875" customWidth="1"/>
    <col min="11009" max="11009" width="5.44140625" customWidth="1"/>
    <col min="11010" max="11010" width="22" customWidth="1"/>
    <col min="11011" max="11011" width="17" customWidth="1"/>
    <col min="11012" max="11012" width="13.6640625" customWidth="1"/>
    <col min="11013" max="11013" width="15.88671875" customWidth="1"/>
    <col min="11014" max="11020" width="13.6640625" customWidth="1"/>
    <col min="11021" max="11021" width="12.5546875" customWidth="1"/>
    <col min="11022" max="11022" width="11.88671875" customWidth="1"/>
    <col min="11265" max="11265" width="5.44140625" customWidth="1"/>
    <col min="11266" max="11266" width="22" customWidth="1"/>
    <col min="11267" max="11267" width="17" customWidth="1"/>
    <col min="11268" max="11268" width="13.6640625" customWidth="1"/>
    <col min="11269" max="11269" width="15.88671875" customWidth="1"/>
    <col min="11270" max="11276" width="13.6640625" customWidth="1"/>
    <col min="11277" max="11277" width="12.5546875" customWidth="1"/>
    <col min="11278" max="11278" width="11.88671875" customWidth="1"/>
    <col min="11521" max="11521" width="5.44140625" customWidth="1"/>
    <col min="11522" max="11522" width="22" customWidth="1"/>
    <col min="11523" max="11523" width="17" customWidth="1"/>
    <col min="11524" max="11524" width="13.6640625" customWidth="1"/>
    <col min="11525" max="11525" width="15.88671875" customWidth="1"/>
    <col min="11526" max="11532" width="13.6640625" customWidth="1"/>
    <col min="11533" max="11533" width="12.5546875" customWidth="1"/>
    <col min="11534" max="11534" width="11.88671875" customWidth="1"/>
    <col min="11777" max="11777" width="5.44140625" customWidth="1"/>
    <col min="11778" max="11778" width="22" customWidth="1"/>
    <col min="11779" max="11779" width="17" customWidth="1"/>
    <col min="11780" max="11780" width="13.6640625" customWidth="1"/>
    <col min="11781" max="11781" width="15.88671875" customWidth="1"/>
    <col min="11782" max="11788" width="13.6640625" customWidth="1"/>
    <col min="11789" max="11789" width="12.5546875" customWidth="1"/>
    <col min="11790" max="11790" width="11.88671875" customWidth="1"/>
    <col min="12033" max="12033" width="5.44140625" customWidth="1"/>
    <col min="12034" max="12034" width="22" customWidth="1"/>
    <col min="12035" max="12035" width="17" customWidth="1"/>
    <col min="12036" max="12036" width="13.6640625" customWidth="1"/>
    <col min="12037" max="12037" width="15.88671875" customWidth="1"/>
    <col min="12038" max="12044" width="13.6640625" customWidth="1"/>
    <col min="12045" max="12045" width="12.5546875" customWidth="1"/>
    <col min="12046" max="12046" width="11.88671875" customWidth="1"/>
    <col min="12289" max="12289" width="5.44140625" customWidth="1"/>
    <col min="12290" max="12290" width="22" customWidth="1"/>
    <col min="12291" max="12291" width="17" customWidth="1"/>
    <col min="12292" max="12292" width="13.6640625" customWidth="1"/>
    <col min="12293" max="12293" width="15.88671875" customWidth="1"/>
    <col min="12294" max="12300" width="13.6640625" customWidth="1"/>
    <col min="12301" max="12301" width="12.5546875" customWidth="1"/>
    <col min="12302" max="12302" width="11.88671875" customWidth="1"/>
    <col min="12545" max="12545" width="5.44140625" customWidth="1"/>
    <col min="12546" max="12546" width="22" customWidth="1"/>
    <col min="12547" max="12547" width="17" customWidth="1"/>
    <col min="12548" max="12548" width="13.6640625" customWidth="1"/>
    <col min="12549" max="12549" width="15.88671875" customWidth="1"/>
    <col min="12550" max="12556" width="13.6640625" customWidth="1"/>
    <col min="12557" max="12557" width="12.5546875" customWidth="1"/>
    <col min="12558" max="12558" width="11.88671875" customWidth="1"/>
    <col min="12801" max="12801" width="5.44140625" customWidth="1"/>
    <col min="12802" max="12802" width="22" customWidth="1"/>
    <col min="12803" max="12803" width="17" customWidth="1"/>
    <col min="12804" max="12804" width="13.6640625" customWidth="1"/>
    <col min="12805" max="12805" width="15.88671875" customWidth="1"/>
    <col min="12806" max="12812" width="13.6640625" customWidth="1"/>
    <col min="12813" max="12813" width="12.5546875" customWidth="1"/>
    <col min="12814" max="12814" width="11.88671875" customWidth="1"/>
    <col min="13057" max="13057" width="5.44140625" customWidth="1"/>
    <col min="13058" max="13058" width="22" customWidth="1"/>
    <col min="13059" max="13059" width="17" customWidth="1"/>
    <col min="13060" max="13060" width="13.6640625" customWidth="1"/>
    <col min="13061" max="13061" width="15.88671875" customWidth="1"/>
    <col min="13062" max="13068" width="13.6640625" customWidth="1"/>
    <col min="13069" max="13069" width="12.5546875" customWidth="1"/>
    <col min="13070" max="13070" width="11.88671875" customWidth="1"/>
    <col min="13313" max="13313" width="5.44140625" customWidth="1"/>
    <col min="13314" max="13314" width="22" customWidth="1"/>
    <col min="13315" max="13315" width="17" customWidth="1"/>
    <col min="13316" max="13316" width="13.6640625" customWidth="1"/>
    <col min="13317" max="13317" width="15.88671875" customWidth="1"/>
    <col min="13318" max="13324" width="13.6640625" customWidth="1"/>
    <col min="13325" max="13325" width="12.5546875" customWidth="1"/>
    <col min="13326" max="13326" width="11.88671875" customWidth="1"/>
    <col min="13569" max="13569" width="5.44140625" customWidth="1"/>
    <col min="13570" max="13570" width="22" customWidth="1"/>
    <col min="13571" max="13571" width="17" customWidth="1"/>
    <col min="13572" max="13572" width="13.6640625" customWidth="1"/>
    <col min="13573" max="13573" width="15.88671875" customWidth="1"/>
    <col min="13574" max="13580" width="13.6640625" customWidth="1"/>
    <col min="13581" max="13581" width="12.5546875" customWidth="1"/>
    <col min="13582" max="13582" width="11.88671875" customWidth="1"/>
    <col min="13825" max="13825" width="5.44140625" customWidth="1"/>
    <col min="13826" max="13826" width="22" customWidth="1"/>
    <col min="13827" max="13827" width="17" customWidth="1"/>
    <col min="13828" max="13828" width="13.6640625" customWidth="1"/>
    <col min="13829" max="13829" width="15.88671875" customWidth="1"/>
    <col min="13830" max="13836" width="13.6640625" customWidth="1"/>
    <col min="13837" max="13837" width="12.5546875" customWidth="1"/>
    <col min="13838" max="13838" width="11.88671875" customWidth="1"/>
    <col min="14081" max="14081" width="5.44140625" customWidth="1"/>
    <col min="14082" max="14082" width="22" customWidth="1"/>
    <col min="14083" max="14083" width="17" customWidth="1"/>
    <col min="14084" max="14084" width="13.6640625" customWidth="1"/>
    <col min="14085" max="14085" width="15.88671875" customWidth="1"/>
    <col min="14086" max="14092" width="13.6640625" customWidth="1"/>
    <col min="14093" max="14093" width="12.5546875" customWidth="1"/>
    <col min="14094" max="14094" width="11.88671875" customWidth="1"/>
    <col min="14337" max="14337" width="5.44140625" customWidth="1"/>
    <col min="14338" max="14338" width="22" customWidth="1"/>
    <col min="14339" max="14339" width="17" customWidth="1"/>
    <col min="14340" max="14340" width="13.6640625" customWidth="1"/>
    <col min="14341" max="14341" width="15.88671875" customWidth="1"/>
    <col min="14342" max="14348" width="13.6640625" customWidth="1"/>
    <col min="14349" max="14349" width="12.5546875" customWidth="1"/>
    <col min="14350" max="14350" width="11.88671875" customWidth="1"/>
    <col min="14593" max="14593" width="5.44140625" customWidth="1"/>
    <col min="14594" max="14594" width="22" customWidth="1"/>
    <col min="14595" max="14595" width="17" customWidth="1"/>
    <col min="14596" max="14596" width="13.6640625" customWidth="1"/>
    <col min="14597" max="14597" width="15.88671875" customWidth="1"/>
    <col min="14598" max="14604" width="13.6640625" customWidth="1"/>
    <col min="14605" max="14605" width="12.5546875" customWidth="1"/>
    <col min="14606" max="14606" width="11.88671875" customWidth="1"/>
    <col min="14849" max="14849" width="5.44140625" customWidth="1"/>
    <col min="14850" max="14850" width="22" customWidth="1"/>
    <col min="14851" max="14851" width="17" customWidth="1"/>
    <col min="14852" max="14852" width="13.6640625" customWidth="1"/>
    <col min="14853" max="14853" width="15.88671875" customWidth="1"/>
    <col min="14854" max="14860" width="13.6640625" customWidth="1"/>
    <col min="14861" max="14861" width="12.5546875" customWidth="1"/>
    <col min="14862" max="14862" width="11.88671875" customWidth="1"/>
    <col min="15105" max="15105" width="5.44140625" customWidth="1"/>
    <col min="15106" max="15106" width="22" customWidth="1"/>
    <col min="15107" max="15107" width="17" customWidth="1"/>
    <col min="15108" max="15108" width="13.6640625" customWidth="1"/>
    <col min="15109" max="15109" width="15.88671875" customWidth="1"/>
    <col min="15110" max="15116" width="13.6640625" customWidth="1"/>
    <col min="15117" max="15117" width="12.5546875" customWidth="1"/>
    <col min="15118" max="15118" width="11.88671875" customWidth="1"/>
    <col min="15361" max="15361" width="5.44140625" customWidth="1"/>
    <col min="15362" max="15362" width="22" customWidth="1"/>
    <col min="15363" max="15363" width="17" customWidth="1"/>
    <col min="15364" max="15364" width="13.6640625" customWidth="1"/>
    <col min="15365" max="15365" width="15.88671875" customWidth="1"/>
    <col min="15366" max="15372" width="13.6640625" customWidth="1"/>
    <col min="15373" max="15373" width="12.5546875" customWidth="1"/>
    <col min="15374" max="15374" width="11.88671875" customWidth="1"/>
    <col min="15617" max="15617" width="5.44140625" customWidth="1"/>
    <col min="15618" max="15618" width="22" customWidth="1"/>
    <col min="15619" max="15619" width="17" customWidth="1"/>
    <col min="15620" max="15620" width="13.6640625" customWidth="1"/>
    <col min="15621" max="15621" width="15.88671875" customWidth="1"/>
    <col min="15622" max="15628" width="13.6640625" customWidth="1"/>
    <col min="15629" max="15629" width="12.5546875" customWidth="1"/>
    <col min="15630" max="15630" width="11.88671875" customWidth="1"/>
    <col min="15873" max="15873" width="5.44140625" customWidth="1"/>
    <col min="15874" max="15874" width="22" customWidth="1"/>
    <col min="15875" max="15875" width="17" customWidth="1"/>
    <col min="15876" max="15876" width="13.6640625" customWidth="1"/>
    <col min="15877" max="15877" width="15.88671875" customWidth="1"/>
    <col min="15878" max="15884" width="13.6640625" customWidth="1"/>
    <col min="15885" max="15885" width="12.5546875" customWidth="1"/>
    <col min="15886" max="15886" width="11.88671875" customWidth="1"/>
    <col min="16129" max="16129" width="5.44140625" customWidth="1"/>
    <col min="16130" max="16130" width="22" customWidth="1"/>
    <col min="16131" max="16131" width="17" customWidth="1"/>
    <col min="16132" max="16132" width="13.6640625" customWidth="1"/>
    <col min="16133" max="16133" width="15.88671875" customWidth="1"/>
    <col min="16134" max="16140" width="13.6640625" customWidth="1"/>
    <col min="16141" max="16141" width="12.5546875" customWidth="1"/>
    <col min="16142" max="16142" width="11.88671875" customWidth="1"/>
  </cols>
  <sheetData>
    <row r="1" spans="1:15" ht="15.6" x14ac:dyDescent="0.3">
      <c r="A1" s="1"/>
      <c r="B1" s="2" t="s">
        <v>63</v>
      </c>
      <c r="C1" s="3"/>
      <c r="D1" s="4" t="s">
        <v>100</v>
      </c>
      <c r="E1" s="5"/>
      <c r="F1" s="6"/>
      <c r="G1" s="83" t="s">
        <v>61</v>
      </c>
      <c r="H1" s="83"/>
      <c r="I1" s="83"/>
      <c r="J1" s="84"/>
      <c r="K1" s="84"/>
      <c r="L1" s="84"/>
      <c r="M1" s="96"/>
      <c r="N1" s="3"/>
      <c r="O1" s="10"/>
    </row>
    <row r="2" spans="1:15" ht="15.6" x14ac:dyDescent="0.3">
      <c r="A2" s="21"/>
      <c r="B2" s="94"/>
      <c r="C2" s="12"/>
      <c r="D2" s="93"/>
      <c r="E2" s="11"/>
      <c r="F2" s="10"/>
      <c r="G2" s="95"/>
      <c r="H2" s="95"/>
      <c r="I2" s="95"/>
      <c r="J2" s="34"/>
      <c r="N2" s="12"/>
      <c r="O2" s="10"/>
    </row>
    <row r="3" spans="1:15" ht="15" thickBot="1" x14ac:dyDescent="0.35">
      <c r="A3" s="29"/>
      <c r="B3" s="7" t="s">
        <v>0</v>
      </c>
      <c r="C3" s="8"/>
      <c r="D3" s="9" t="s">
        <v>102</v>
      </c>
      <c r="E3" s="10"/>
      <c r="F3" s="11"/>
      <c r="G3" s="11"/>
      <c r="H3" s="11"/>
      <c r="I3" s="11"/>
      <c r="J3" s="11"/>
      <c r="K3" s="11"/>
      <c r="L3" s="11"/>
      <c r="M3" s="10"/>
      <c r="N3" s="12"/>
      <c r="O3" s="10"/>
    </row>
    <row r="4" spans="1:15" ht="15" thickBot="1" x14ac:dyDescent="0.35">
      <c r="A4" s="36"/>
      <c r="B4" s="37" t="s">
        <v>1</v>
      </c>
      <c r="C4" s="38" t="s">
        <v>2</v>
      </c>
      <c r="D4" s="39"/>
      <c r="E4" s="13"/>
      <c r="F4" s="13"/>
      <c r="G4" s="258" t="s">
        <v>3</v>
      </c>
      <c r="H4" s="258"/>
      <c r="I4" s="258"/>
      <c r="J4" s="258"/>
      <c r="K4" s="258"/>
      <c r="L4" s="260"/>
      <c r="M4" s="260"/>
      <c r="N4" s="261"/>
    </row>
    <row r="5" spans="1:15" ht="15" thickBot="1" x14ac:dyDescent="0.35">
      <c r="A5" s="14" t="s">
        <v>4</v>
      </c>
      <c r="B5" s="40"/>
      <c r="C5" s="41"/>
      <c r="D5" s="15">
        <v>1</v>
      </c>
      <c r="E5" s="15">
        <v>2</v>
      </c>
      <c r="F5" s="15">
        <v>3</v>
      </c>
      <c r="G5" s="15">
        <v>4</v>
      </c>
      <c r="H5" s="15">
        <v>5</v>
      </c>
      <c r="I5" s="15">
        <v>6</v>
      </c>
      <c r="J5" s="17">
        <v>7</v>
      </c>
      <c r="K5" s="174">
        <v>8</v>
      </c>
      <c r="L5" s="175">
        <v>9</v>
      </c>
      <c r="M5" s="175">
        <v>10</v>
      </c>
      <c r="N5" s="175">
        <v>11</v>
      </c>
      <c r="O5" s="175">
        <v>12</v>
      </c>
    </row>
    <row r="6" spans="1:15" ht="17.399999999999999" x14ac:dyDescent="0.45">
      <c r="A6" s="42" t="s">
        <v>5</v>
      </c>
      <c r="B6" s="43" t="s">
        <v>6</v>
      </c>
      <c r="C6" s="44" t="s">
        <v>7</v>
      </c>
      <c r="D6" s="116"/>
      <c r="E6" s="154"/>
      <c r="F6" s="155"/>
      <c r="G6" s="155">
        <f>693368+19700+1400+11646+19500</f>
        <v>745614</v>
      </c>
      <c r="H6" s="156">
        <f>703562+19700+1400+11646+19500</f>
        <v>755808</v>
      </c>
      <c r="I6" s="159">
        <f>708562+19700+1400+11646+19500</f>
        <v>760808</v>
      </c>
      <c r="J6" s="160">
        <f>713562+19700+1400+11646+19500</f>
        <v>765808</v>
      </c>
      <c r="K6" s="157">
        <f>718562+19700+1400+11646+19500</f>
        <v>770808</v>
      </c>
      <c r="L6" s="189">
        <f>723562+19700+1400+11646+19500</f>
        <v>775808</v>
      </c>
      <c r="M6" s="189">
        <f>728562+19700+1400+11646+19500</f>
        <v>780808</v>
      </c>
      <c r="N6" s="189">
        <f>733562+19700+1400+11646+19500</f>
        <v>785808</v>
      </c>
      <c r="O6" s="189">
        <f>738562+19700+1400+11646+19500</f>
        <v>790808</v>
      </c>
    </row>
    <row r="7" spans="1:15" x14ac:dyDescent="0.3">
      <c r="A7" s="45"/>
      <c r="B7" s="46" t="s">
        <v>8</v>
      </c>
      <c r="C7" s="47" t="s">
        <v>50</v>
      </c>
      <c r="D7" s="22"/>
      <c r="E7" s="19"/>
      <c r="F7" s="19"/>
      <c r="G7" s="85">
        <v>1</v>
      </c>
      <c r="H7" s="85">
        <v>1</v>
      </c>
      <c r="I7" s="85">
        <v>1</v>
      </c>
      <c r="J7" s="85">
        <v>1</v>
      </c>
      <c r="K7" s="176">
        <v>1</v>
      </c>
      <c r="L7" s="184">
        <v>1</v>
      </c>
      <c r="M7" s="184">
        <v>1</v>
      </c>
      <c r="N7" s="184">
        <v>1</v>
      </c>
      <c r="O7" s="184">
        <v>1</v>
      </c>
    </row>
    <row r="8" spans="1:15" x14ac:dyDescent="0.3">
      <c r="A8" s="45"/>
      <c r="B8" s="46" t="s">
        <v>9</v>
      </c>
      <c r="C8" s="47" t="s">
        <v>51</v>
      </c>
      <c r="D8" s="22"/>
      <c r="E8" s="19"/>
      <c r="F8" s="19"/>
      <c r="G8" s="19">
        <f t="shared" ref="G8:O8" si="0">((G6)-(G7*146))/12</f>
        <v>62122.333333333336</v>
      </c>
      <c r="H8" s="19">
        <f t="shared" si="0"/>
        <v>62971.833333333336</v>
      </c>
      <c r="I8" s="86">
        <f t="shared" si="0"/>
        <v>63388.5</v>
      </c>
      <c r="J8" s="86">
        <f t="shared" si="0"/>
        <v>63805.166666666664</v>
      </c>
      <c r="K8" s="105">
        <f t="shared" si="0"/>
        <v>64221.833333333336</v>
      </c>
      <c r="L8" s="186">
        <f t="shared" si="0"/>
        <v>64638.5</v>
      </c>
      <c r="M8" s="186">
        <f t="shared" si="0"/>
        <v>65055.166666666664</v>
      </c>
      <c r="N8" s="186">
        <f t="shared" si="0"/>
        <v>65471.833333333336</v>
      </c>
      <c r="O8" s="186">
        <f t="shared" si="0"/>
        <v>65888.5</v>
      </c>
    </row>
    <row r="9" spans="1:15" x14ac:dyDescent="0.3">
      <c r="A9" s="45"/>
      <c r="B9" s="46" t="s">
        <v>10</v>
      </c>
      <c r="C9" s="47" t="s">
        <v>52</v>
      </c>
      <c r="D9" s="22"/>
      <c r="E9" s="19"/>
      <c r="F9" s="19"/>
      <c r="G9" s="19">
        <f t="shared" ref="G9:H9" si="1">G8*47.08/52.14</f>
        <v>56093.583684950769</v>
      </c>
      <c r="H9" s="19">
        <f t="shared" si="1"/>
        <v>56860.642756680732</v>
      </c>
      <c r="I9" s="86">
        <f>I8*47.08/52.14</f>
        <v>57236.873417721523</v>
      </c>
      <c r="J9" s="86">
        <f>J8*47.08/52.14</f>
        <v>57613.104078762306</v>
      </c>
      <c r="K9" s="105">
        <f>K8*47.08/52.14</f>
        <v>57989.334739803096</v>
      </c>
      <c r="L9" s="186">
        <f t="shared" ref="L9:O9" si="2">L8*47.08/52.14</f>
        <v>58365.56540084388</v>
      </c>
      <c r="M9" s="186">
        <f t="shared" si="2"/>
        <v>58741.79606188467</v>
      </c>
      <c r="N9" s="186">
        <f t="shared" si="2"/>
        <v>59118.02672292546</v>
      </c>
      <c r="O9" s="186">
        <f t="shared" si="2"/>
        <v>59494.257383966244</v>
      </c>
    </row>
    <row r="10" spans="1:15" x14ac:dyDescent="0.3">
      <c r="A10" s="45"/>
      <c r="B10" s="46" t="s">
        <v>11</v>
      </c>
      <c r="C10" s="51" t="s">
        <v>53</v>
      </c>
      <c r="D10" s="22"/>
      <c r="E10" s="24"/>
      <c r="F10" s="24"/>
      <c r="G10" s="24">
        <f t="shared" ref="G10:H10" si="3">G6/1752</f>
        <v>425.57876712328766</v>
      </c>
      <c r="H10" s="24">
        <f t="shared" si="3"/>
        <v>431.39726027397262</v>
      </c>
      <c r="I10" s="87">
        <f>I6/1752</f>
        <v>434.2511415525114</v>
      </c>
      <c r="J10" s="87">
        <f>J6/1752</f>
        <v>437.10502283105023</v>
      </c>
      <c r="K10" s="106">
        <f>K6/1752</f>
        <v>439.95890410958901</v>
      </c>
      <c r="L10" s="185">
        <f t="shared" ref="L10:O10" si="4">L6/1752</f>
        <v>442.81278538812785</v>
      </c>
      <c r="M10" s="185">
        <f t="shared" si="4"/>
        <v>445.66666666666669</v>
      </c>
      <c r="N10" s="185">
        <f t="shared" si="4"/>
        <v>448.52054794520546</v>
      </c>
      <c r="O10" s="185">
        <f t="shared" si="4"/>
        <v>451.3744292237443</v>
      </c>
    </row>
    <row r="11" spans="1:15" x14ac:dyDescent="0.3">
      <c r="A11" s="45"/>
      <c r="B11" s="55" t="s">
        <v>12</v>
      </c>
      <c r="C11" s="51" t="s">
        <v>54</v>
      </c>
      <c r="D11" s="22"/>
      <c r="E11" s="24"/>
      <c r="F11" s="24"/>
      <c r="G11" s="24">
        <f t="shared" ref="G11:H11" si="5">G6/1752*1.65</f>
        <v>702.20496575342463</v>
      </c>
      <c r="H11" s="24">
        <f t="shared" si="5"/>
        <v>711.80547945205478</v>
      </c>
      <c r="I11" s="87">
        <f>I6/1752*1.65</f>
        <v>716.51438356164374</v>
      </c>
      <c r="J11" s="87">
        <f>J6/1752*1.65</f>
        <v>721.22328767123281</v>
      </c>
      <c r="K11" s="106">
        <f>K6/1752*1.65</f>
        <v>725.93219178082188</v>
      </c>
      <c r="L11" s="185">
        <f t="shared" ref="L11:O11" si="6">L6/1752*1.65</f>
        <v>730.64109589041095</v>
      </c>
      <c r="M11" s="185">
        <f t="shared" si="6"/>
        <v>735.35</v>
      </c>
      <c r="N11" s="185">
        <f t="shared" si="6"/>
        <v>740.05890410958898</v>
      </c>
      <c r="O11" s="185">
        <f t="shared" si="6"/>
        <v>744.76780821917805</v>
      </c>
    </row>
    <row r="12" spans="1:15" ht="17.399999999999999" x14ac:dyDescent="0.3">
      <c r="A12" s="45"/>
      <c r="B12" s="26" t="s">
        <v>62</v>
      </c>
      <c r="C12" s="51" t="s">
        <v>55</v>
      </c>
      <c r="D12" s="22"/>
      <c r="E12" s="24"/>
      <c r="F12" s="24"/>
      <c r="G12" s="24">
        <f t="shared" ref="G12:H12" si="7">G8/162.5</f>
        <v>382.29128205128205</v>
      </c>
      <c r="H12" s="24">
        <f t="shared" si="7"/>
        <v>387.51897435897439</v>
      </c>
      <c r="I12" s="87">
        <f>I8/162.5</f>
        <v>390.08307692307693</v>
      </c>
      <c r="J12" s="87">
        <f>J8/162.5</f>
        <v>392.64717948717947</v>
      </c>
      <c r="K12" s="106">
        <f>K8/162.5</f>
        <v>395.21128205128207</v>
      </c>
      <c r="L12" s="185">
        <f t="shared" ref="L12:O12" si="8">L8/162.5</f>
        <v>397.77538461538461</v>
      </c>
      <c r="M12" s="185">
        <f t="shared" si="8"/>
        <v>400.33948717948715</v>
      </c>
      <c r="N12" s="185">
        <f t="shared" si="8"/>
        <v>402.90358974358975</v>
      </c>
      <c r="O12" s="185">
        <f t="shared" si="8"/>
        <v>405.46769230769229</v>
      </c>
    </row>
    <row r="13" spans="1:15" x14ac:dyDescent="0.3">
      <c r="A13" s="45"/>
      <c r="B13" s="22"/>
      <c r="C13" s="51" t="s">
        <v>56</v>
      </c>
      <c r="D13" s="22"/>
      <c r="E13" s="24"/>
      <c r="F13" s="24"/>
      <c r="G13" s="24">
        <f t="shared" ref="G13:H13" si="9">G12*1.5</f>
        <v>573.43692307692311</v>
      </c>
      <c r="H13" s="24">
        <f t="shared" si="9"/>
        <v>581.27846153846156</v>
      </c>
      <c r="I13" s="87">
        <f>I12*1.5</f>
        <v>585.12461538461537</v>
      </c>
      <c r="J13" s="87">
        <f>J12*1.5</f>
        <v>588.97076923076918</v>
      </c>
      <c r="K13" s="106">
        <f>K12*1.5</f>
        <v>592.8169230769231</v>
      </c>
      <c r="L13" s="185">
        <f t="shared" ref="L13:O13" si="10">L12*1.5</f>
        <v>596.66307692307691</v>
      </c>
      <c r="M13" s="185">
        <f t="shared" si="10"/>
        <v>600.50923076923073</v>
      </c>
      <c r="N13" s="185">
        <f t="shared" si="10"/>
        <v>604.35538461538465</v>
      </c>
      <c r="O13" s="185">
        <f t="shared" si="10"/>
        <v>608.20153846153846</v>
      </c>
    </row>
    <row r="14" spans="1:15" ht="15" thickBot="1" x14ac:dyDescent="0.35">
      <c r="A14" s="45"/>
      <c r="B14" s="56"/>
      <c r="C14" s="57" t="s">
        <v>57</v>
      </c>
      <c r="D14" s="115"/>
      <c r="E14" s="27"/>
      <c r="F14" s="27"/>
      <c r="G14" s="27">
        <f t="shared" ref="G14:H14" si="11">G12*2</f>
        <v>764.58256410256411</v>
      </c>
      <c r="H14" s="27">
        <f t="shared" si="11"/>
        <v>775.03794871794878</v>
      </c>
      <c r="I14" s="88">
        <f>I12*2</f>
        <v>780.16615384615386</v>
      </c>
      <c r="J14" s="88">
        <f>J12*2</f>
        <v>785.29435897435894</v>
      </c>
      <c r="K14" s="106">
        <f>K12*2</f>
        <v>790.42256410256414</v>
      </c>
      <c r="L14" s="188">
        <f t="shared" ref="L14:O14" si="12">L12*2</f>
        <v>795.55076923076922</v>
      </c>
      <c r="M14" s="188">
        <f t="shared" si="12"/>
        <v>800.6789743589743</v>
      </c>
      <c r="N14" s="188">
        <f t="shared" si="12"/>
        <v>805.8071794871795</v>
      </c>
      <c r="O14" s="188">
        <f t="shared" si="12"/>
        <v>810.93538461538458</v>
      </c>
    </row>
    <row r="15" spans="1:15" ht="18.600000000000001" x14ac:dyDescent="0.45">
      <c r="A15" s="60" t="s">
        <v>13</v>
      </c>
      <c r="B15" s="61" t="s">
        <v>14</v>
      </c>
      <c r="C15" s="44" t="s">
        <v>7</v>
      </c>
      <c r="D15" s="150"/>
      <c r="E15" s="155"/>
      <c r="F15" s="155">
        <f>652991+19700+1400+11646+19500</f>
        <v>705237</v>
      </c>
      <c r="G15" s="155">
        <f>669387+19700+1400+11646+19500</f>
        <v>721633</v>
      </c>
      <c r="H15" s="156">
        <f>675745+19700+1400+11646+19500</f>
        <v>727991</v>
      </c>
      <c r="I15" s="160">
        <f>680745+19700+1400+11646+19500</f>
        <v>732991</v>
      </c>
      <c r="J15" s="157">
        <f>685745+19700+1400+11646+19500</f>
        <v>737991</v>
      </c>
      <c r="K15" s="191">
        <f>690745+19700+1400+11646+19500</f>
        <v>742991</v>
      </c>
      <c r="L15" s="189">
        <f>695745+19700+1400+11646+19500</f>
        <v>747991</v>
      </c>
      <c r="M15" s="189">
        <f>700745+19700+1400+11646+19500</f>
        <v>752991</v>
      </c>
      <c r="N15" s="189">
        <f>705745+19700+1400+11646+19500</f>
        <v>757991</v>
      </c>
      <c r="O15" s="189">
        <f>710745+19700+1400+11646+19500</f>
        <v>762991</v>
      </c>
    </row>
    <row r="16" spans="1:15" x14ac:dyDescent="0.3">
      <c r="A16" s="62"/>
      <c r="B16" s="61" t="s">
        <v>15</v>
      </c>
      <c r="C16" s="47" t="s">
        <v>50</v>
      </c>
      <c r="D16" s="18"/>
      <c r="E16" s="18"/>
      <c r="F16" s="89">
        <v>1</v>
      </c>
      <c r="G16" s="89">
        <v>1</v>
      </c>
      <c r="H16" s="89">
        <v>1</v>
      </c>
      <c r="I16" s="89">
        <v>1</v>
      </c>
      <c r="J16" s="104">
        <v>1</v>
      </c>
      <c r="K16" s="179">
        <v>1</v>
      </c>
      <c r="L16" s="184">
        <v>1</v>
      </c>
      <c r="M16" s="184">
        <v>1</v>
      </c>
      <c r="N16" s="184">
        <v>1</v>
      </c>
      <c r="O16" s="184">
        <v>1</v>
      </c>
    </row>
    <row r="17" spans="1:15" x14ac:dyDescent="0.3">
      <c r="A17" s="62"/>
      <c r="B17" s="61" t="s">
        <v>16</v>
      </c>
      <c r="C17" s="47" t="s">
        <v>51</v>
      </c>
      <c r="D17" s="18"/>
      <c r="E17" s="20"/>
      <c r="F17" s="18">
        <f t="shared" ref="F17:H17" si="13">((F15)-(F16*146))/12</f>
        <v>58757.583333333336</v>
      </c>
      <c r="G17" s="20">
        <f t="shared" si="13"/>
        <v>60123.916666666664</v>
      </c>
      <c r="H17" s="18">
        <f t="shared" si="13"/>
        <v>60653.75</v>
      </c>
      <c r="I17" s="86">
        <f>((I15)-(I16*146))/12</f>
        <v>61070.416666666664</v>
      </c>
      <c r="J17" s="105">
        <f>((J15)-(J16*146))/12</f>
        <v>61487.083333333336</v>
      </c>
      <c r="K17" s="180">
        <f>((K15)-(K16*146))/12</f>
        <v>61903.75</v>
      </c>
      <c r="L17" s="186">
        <f t="shared" ref="L17:O17" si="14">((L15)-(L16*146))/12</f>
        <v>62320.416666666664</v>
      </c>
      <c r="M17" s="186">
        <f t="shared" si="14"/>
        <v>62737.083333333336</v>
      </c>
      <c r="N17" s="186">
        <f t="shared" si="14"/>
        <v>63153.75</v>
      </c>
      <c r="O17" s="186">
        <f t="shared" si="14"/>
        <v>63570.416666666664</v>
      </c>
    </row>
    <row r="18" spans="1:15" x14ac:dyDescent="0.3">
      <c r="A18" s="62"/>
      <c r="B18" s="61" t="s">
        <v>17</v>
      </c>
      <c r="C18" s="47" t="s">
        <v>52</v>
      </c>
      <c r="D18" s="18"/>
      <c r="E18" s="20"/>
      <c r="F18" s="18">
        <f t="shared" ref="F18:H18" si="15">F17*47.08/52.14</f>
        <v>53055.370604782001</v>
      </c>
      <c r="G18" s="20">
        <f t="shared" si="15"/>
        <v>54289.106188466947</v>
      </c>
      <c r="H18" s="18">
        <f t="shared" si="15"/>
        <v>54767.52109704641</v>
      </c>
      <c r="I18" s="86">
        <f>I17*47.08/52.14</f>
        <v>55143.751758087194</v>
      </c>
      <c r="J18" s="105">
        <f>J17*47.08/52.14</f>
        <v>55519.982419127984</v>
      </c>
      <c r="K18" s="180">
        <f>K17*47.08/52.14</f>
        <v>55896.213080168774</v>
      </c>
      <c r="L18" s="186">
        <f t="shared" ref="L18:O18" si="16">L17*47.08/52.14</f>
        <v>56272.443741209558</v>
      </c>
      <c r="M18" s="186">
        <f t="shared" si="16"/>
        <v>56648.674402250348</v>
      </c>
      <c r="N18" s="186">
        <f t="shared" si="16"/>
        <v>57024.905063291139</v>
      </c>
      <c r="O18" s="186">
        <f t="shared" si="16"/>
        <v>57401.135724331922</v>
      </c>
    </row>
    <row r="19" spans="1:15" x14ac:dyDescent="0.3">
      <c r="A19" s="62"/>
      <c r="B19" s="61" t="s">
        <v>18</v>
      </c>
      <c r="C19" s="51" t="s">
        <v>53</v>
      </c>
      <c r="D19" s="23"/>
      <c r="E19" s="25"/>
      <c r="F19" s="23">
        <f t="shared" ref="F19:H19" si="17">F15/1752</f>
        <v>402.53253424657532</v>
      </c>
      <c r="G19" s="25">
        <f t="shared" si="17"/>
        <v>411.89098173515981</v>
      </c>
      <c r="H19" s="23">
        <f t="shared" si="17"/>
        <v>415.51997716894977</v>
      </c>
      <c r="I19" s="87">
        <f>I15/1752</f>
        <v>418.3738584474886</v>
      </c>
      <c r="J19" s="106">
        <f>J15/1752</f>
        <v>421.22773972602738</v>
      </c>
      <c r="K19" s="181">
        <f>K15/1753</f>
        <v>423.83970336565886</v>
      </c>
      <c r="L19" s="185">
        <f t="shared" ref="L19:O19" si="18">L15/1752</f>
        <v>426.935502283105</v>
      </c>
      <c r="M19" s="185">
        <f t="shared" si="18"/>
        <v>429.78938356164383</v>
      </c>
      <c r="N19" s="185">
        <f t="shared" si="18"/>
        <v>432.64326484018267</v>
      </c>
      <c r="O19" s="185">
        <f t="shared" si="18"/>
        <v>435.49714611872145</v>
      </c>
    </row>
    <row r="20" spans="1:15" x14ac:dyDescent="0.3">
      <c r="A20" s="62"/>
      <c r="B20" s="61" t="s">
        <v>20</v>
      </c>
      <c r="C20" s="51" t="s">
        <v>54</v>
      </c>
      <c r="D20" s="23"/>
      <c r="E20" s="25"/>
      <c r="F20" s="23">
        <f t="shared" ref="F20:H20" si="19">F15/1752*1.65</f>
        <v>664.17868150684922</v>
      </c>
      <c r="G20" s="25">
        <f t="shared" si="19"/>
        <v>679.62011986301366</v>
      </c>
      <c r="H20" s="23">
        <f t="shared" si="19"/>
        <v>685.60796232876703</v>
      </c>
      <c r="I20" s="87">
        <f>I15/1752*1.65</f>
        <v>690.3168664383561</v>
      </c>
      <c r="J20" s="106">
        <f>J15/1752*1.65</f>
        <v>695.02577054794517</v>
      </c>
      <c r="K20" s="181">
        <f>K15/1752*1.65</f>
        <v>699.73467465753424</v>
      </c>
      <c r="L20" s="185">
        <f t="shared" ref="L20:O20" si="20">L15/1752*1.65</f>
        <v>704.4435787671232</v>
      </c>
      <c r="M20" s="185">
        <f t="shared" si="20"/>
        <v>709.15248287671227</v>
      </c>
      <c r="N20" s="185">
        <f t="shared" si="20"/>
        <v>713.86138698630134</v>
      </c>
      <c r="O20" s="185">
        <f t="shared" si="20"/>
        <v>718.5702910958903</v>
      </c>
    </row>
    <row r="21" spans="1:15" x14ac:dyDescent="0.3">
      <c r="A21" s="62"/>
      <c r="B21" s="61" t="s">
        <v>21</v>
      </c>
      <c r="C21" s="51" t="s">
        <v>55</v>
      </c>
      <c r="D21" s="23"/>
      <c r="E21" s="25"/>
      <c r="F21" s="23">
        <f t="shared" ref="F21:H21" si="21">F17/162.5</f>
        <v>361.58512820512823</v>
      </c>
      <c r="G21" s="25">
        <f t="shared" si="21"/>
        <v>369.99333333333334</v>
      </c>
      <c r="H21" s="23">
        <f t="shared" si="21"/>
        <v>373.25384615384615</v>
      </c>
      <c r="I21" s="87">
        <f>I17/162.5</f>
        <v>375.8179487179487</v>
      </c>
      <c r="J21" s="106">
        <f>J17/162.5</f>
        <v>378.38205128205129</v>
      </c>
      <c r="K21" s="181">
        <f>K17/162.5</f>
        <v>380.94615384615383</v>
      </c>
      <c r="L21" s="185">
        <f t="shared" ref="L21:O21" si="22">L17/162.5</f>
        <v>383.51025641025637</v>
      </c>
      <c r="M21" s="185">
        <f t="shared" si="22"/>
        <v>386.07435897435897</v>
      </c>
      <c r="N21" s="185">
        <f t="shared" si="22"/>
        <v>388.63846153846151</v>
      </c>
      <c r="O21" s="185">
        <f t="shared" si="22"/>
        <v>391.20256410256411</v>
      </c>
    </row>
    <row r="22" spans="1:15" x14ac:dyDescent="0.3">
      <c r="A22" s="62"/>
      <c r="B22" s="61" t="s">
        <v>22</v>
      </c>
      <c r="C22" s="51" t="s">
        <v>56</v>
      </c>
      <c r="D22" s="23"/>
      <c r="E22" s="25"/>
      <c r="F22" s="23">
        <f t="shared" ref="F22:H22" si="23">F21*1.5</f>
        <v>542.37769230769231</v>
      </c>
      <c r="G22" s="25">
        <f t="shared" si="23"/>
        <v>554.99</v>
      </c>
      <c r="H22" s="23">
        <f t="shared" si="23"/>
        <v>559.88076923076926</v>
      </c>
      <c r="I22" s="87">
        <f>I21*1.5</f>
        <v>563.72692307692307</v>
      </c>
      <c r="J22" s="106">
        <f>J21*1.5</f>
        <v>567.573076923077</v>
      </c>
      <c r="K22" s="181">
        <f>K21*1.5</f>
        <v>571.41923076923081</v>
      </c>
      <c r="L22" s="185">
        <f t="shared" ref="L22:O22" si="24">L21*1.5</f>
        <v>575.26538461538462</v>
      </c>
      <c r="M22" s="185">
        <f t="shared" si="24"/>
        <v>579.11153846153843</v>
      </c>
      <c r="N22" s="185">
        <f t="shared" si="24"/>
        <v>582.95769230769224</v>
      </c>
      <c r="O22" s="185">
        <f t="shared" si="24"/>
        <v>586.80384615384617</v>
      </c>
    </row>
    <row r="23" spans="1:15" x14ac:dyDescent="0.3">
      <c r="A23" s="62"/>
      <c r="B23" s="61" t="s">
        <v>23</v>
      </c>
      <c r="C23" s="51" t="s">
        <v>57</v>
      </c>
      <c r="D23" s="23"/>
      <c r="E23" s="25"/>
      <c r="F23" s="23">
        <f t="shared" ref="F23:H23" si="25">F21*2</f>
        <v>723.17025641025646</v>
      </c>
      <c r="G23" s="25">
        <f t="shared" si="25"/>
        <v>739.98666666666668</v>
      </c>
      <c r="H23" s="23">
        <f t="shared" si="25"/>
        <v>746.50769230769231</v>
      </c>
      <c r="I23" s="87">
        <f>I21*2</f>
        <v>751.63589743589739</v>
      </c>
      <c r="J23" s="106">
        <f>J21*2</f>
        <v>756.76410256410259</v>
      </c>
      <c r="K23" s="181">
        <f>K21*2</f>
        <v>761.89230769230767</v>
      </c>
      <c r="L23" s="185">
        <f t="shared" ref="L23:O23" si="26">L21*2</f>
        <v>767.02051282051275</v>
      </c>
      <c r="M23" s="185">
        <f t="shared" si="26"/>
        <v>772.14871794871794</v>
      </c>
      <c r="N23" s="185">
        <f t="shared" si="26"/>
        <v>777.27692307692303</v>
      </c>
      <c r="O23" s="185">
        <f t="shared" si="26"/>
        <v>782.40512820512822</v>
      </c>
    </row>
    <row r="24" spans="1:15" x14ac:dyDescent="0.3">
      <c r="A24" s="62"/>
      <c r="B24" s="61" t="s">
        <v>24</v>
      </c>
      <c r="C24" s="51"/>
      <c r="D24" s="23"/>
      <c r="E24" s="23"/>
      <c r="F24" s="23"/>
      <c r="G24" s="25"/>
      <c r="H24" s="23"/>
      <c r="I24" s="63"/>
      <c r="J24" s="21"/>
      <c r="K24" s="103"/>
      <c r="L24" s="177"/>
      <c r="M24" s="177"/>
      <c r="N24" s="177"/>
      <c r="O24" s="177"/>
    </row>
    <row r="25" spans="1:15" ht="15" thickBot="1" x14ac:dyDescent="0.35">
      <c r="A25" s="64"/>
      <c r="B25" s="65" t="s">
        <v>25</v>
      </c>
      <c r="C25" s="66"/>
      <c r="D25" s="30"/>
      <c r="E25" s="30"/>
      <c r="F25" s="30"/>
      <c r="G25" s="67"/>
      <c r="H25" s="30"/>
      <c r="I25" s="68"/>
      <c r="J25" s="21"/>
      <c r="K25" s="182"/>
      <c r="L25" s="178"/>
      <c r="M25" s="178"/>
      <c r="N25" s="178"/>
      <c r="O25" s="178"/>
    </row>
    <row r="26" spans="1:15" ht="18.600000000000001" x14ac:dyDescent="0.45">
      <c r="A26" s="69" t="s">
        <v>26</v>
      </c>
      <c r="B26" s="43" t="s">
        <v>27</v>
      </c>
      <c r="C26" s="44" t="s">
        <v>7</v>
      </c>
      <c r="D26" s="150"/>
      <c r="E26" s="150"/>
      <c r="F26" s="150">
        <f>637230+19700+1400+11646+19500</f>
        <v>689476</v>
      </c>
      <c r="G26" s="150">
        <f>653174+19700+1400+11646+19500</f>
        <v>705420</v>
      </c>
      <c r="H26" s="151">
        <f>656978+19700+1400+11646+19500</f>
        <v>709224</v>
      </c>
      <c r="I26" s="150">
        <f>661978+19700+1400+11646+19500</f>
        <v>714224</v>
      </c>
      <c r="J26" s="157">
        <f>666978+19700+1400+11646+19500</f>
        <v>719224</v>
      </c>
      <c r="K26" s="190">
        <f>671978+19700+1400+11646+19500</f>
        <v>724224</v>
      </c>
      <c r="L26" s="189">
        <f>676978+19700+1400+11646+19500</f>
        <v>729224</v>
      </c>
      <c r="M26" s="189">
        <f>681978+19700+1400+11646+19500</f>
        <v>734224</v>
      </c>
      <c r="N26" s="189">
        <f>686978+19700+1400+11646+19500</f>
        <v>739224</v>
      </c>
      <c r="O26" s="189">
        <f>691978+19700+1400+11646+19500</f>
        <v>744224</v>
      </c>
    </row>
    <row r="27" spans="1:15" x14ac:dyDescent="0.3">
      <c r="A27" s="45"/>
      <c r="B27" s="46" t="s">
        <v>28</v>
      </c>
      <c r="C27" s="47" t="s">
        <v>50</v>
      </c>
      <c r="D27" s="18"/>
      <c r="E27" s="18"/>
      <c r="F27" s="89">
        <v>1</v>
      </c>
      <c r="G27" s="89">
        <v>1</v>
      </c>
      <c r="H27" s="89">
        <v>1</v>
      </c>
      <c r="I27" s="89">
        <v>1</v>
      </c>
      <c r="J27" s="104">
        <v>1</v>
      </c>
      <c r="K27" s="179">
        <v>1</v>
      </c>
      <c r="L27" s="184">
        <v>1</v>
      </c>
      <c r="M27" s="184">
        <v>1</v>
      </c>
      <c r="N27" s="184">
        <v>1</v>
      </c>
      <c r="O27" s="184">
        <v>1</v>
      </c>
    </row>
    <row r="28" spans="1:15" x14ac:dyDescent="0.3">
      <c r="A28" s="45"/>
      <c r="B28" s="46" t="s">
        <v>29</v>
      </c>
      <c r="C28" s="47" t="s">
        <v>51</v>
      </c>
      <c r="D28" s="18"/>
      <c r="E28" s="19"/>
      <c r="F28" s="19">
        <f t="shared" ref="F28:J28" si="27">((F26)-(F27*146))/12</f>
        <v>57444.166666666664</v>
      </c>
      <c r="G28" s="19">
        <f t="shared" si="27"/>
        <v>58772.833333333336</v>
      </c>
      <c r="H28" s="19">
        <f t="shared" si="27"/>
        <v>59089.833333333336</v>
      </c>
      <c r="I28" s="19">
        <f t="shared" si="27"/>
        <v>59506.5</v>
      </c>
      <c r="J28" s="20">
        <f t="shared" si="27"/>
        <v>59923.166666666664</v>
      </c>
      <c r="K28" s="180">
        <f>((K26)-(K27*146))/12</f>
        <v>60339.833333333336</v>
      </c>
      <c r="L28" s="186">
        <f t="shared" ref="L28:O28" si="28">((L26)-(L27*146))/12</f>
        <v>60756.5</v>
      </c>
      <c r="M28" s="186">
        <f t="shared" si="28"/>
        <v>61173.166666666664</v>
      </c>
      <c r="N28" s="177">
        <f t="shared" si="28"/>
        <v>61589.833333333336</v>
      </c>
      <c r="O28" s="186">
        <f t="shared" si="28"/>
        <v>62006.5</v>
      </c>
    </row>
    <row r="29" spans="1:15" x14ac:dyDescent="0.3">
      <c r="A29" s="45"/>
      <c r="B29" s="46" t="s">
        <v>30</v>
      </c>
      <c r="C29" s="47" t="s">
        <v>52</v>
      </c>
      <c r="D29" s="18"/>
      <c r="E29" s="19"/>
      <c r="F29" s="19">
        <f t="shared" ref="F29:H29" si="29">F28*47.08/52.14</f>
        <v>51869.416315049217</v>
      </c>
      <c r="G29" s="19">
        <f t="shared" si="29"/>
        <v>53069.140646976084</v>
      </c>
      <c r="H29" s="19">
        <f t="shared" si="29"/>
        <v>53355.376933895925</v>
      </c>
      <c r="I29" s="19">
        <f>I28*47.08/52.14</f>
        <v>53731.607594936708</v>
      </c>
      <c r="J29" s="20">
        <f>J28*47.08/52.14</f>
        <v>54107.838255977491</v>
      </c>
      <c r="K29" s="180">
        <f>K28*47.08/52.14</f>
        <v>54484.068917018289</v>
      </c>
      <c r="L29" s="186">
        <f t="shared" ref="L29:O29" si="30">L28*47.08/52.14</f>
        <v>54860.299578059072</v>
      </c>
      <c r="M29" s="186">
        <f t="shared" si="30"/>
        <v>55236.530239099855</v>
      </c>
      <c r="N29" s="186">
        <f t="shared" si="30"/>
        <v>55612.760900140653</v>
      </c>
      <c r="O29" s="186">
        <f t="shared" si="30"/>
        <v>55988.991561181436</v>
      </c>
    </row>
    <row r="30" spans="1:15" x14ac:dyDescent="0.3">
      <c r="A30" s="45"/>
      <c r="B30" s="46" t="s">
        <v>31</v>
      </c>
      <c r="C30" s="51" t="s">
        <v>53</v>
      </c>
      <c r="D30" s="23"/>
      <c r="E30" s="24"/>
      <c r="F30" s="24">
        <f t="shared" ref="F30:J30" si="31">F26/1752</f>
        <v>393.53652968036528</v>
      </c>
      <c r="G30" s="24">
        <f t="shared" si="31"/>
        <v>402.63698630136986</v>
      </c>
      <c r="H30" s="24">
        <f t="shared" si="31"/>
        <v>404.8082191780822</v>
      </c>
      <c r="I30" s="24">
        <f t="shared" si="31"/>
        <v>407.66210045662098</v>
      </c>
      <c r="J30" s="25">
        <f t="shared" si="31"/>
        <v>410.51598173515981</v>
      </c>
      <c r="K30" s="181">
        <f>K26/1752</f>
        <v>413.36986301369865</v>
      </c>
      <c r="L30" s="185">
        <f t="shared" ref="L30:O30" si="32">L26/1752</f>
        <v>416.22374429223743</v>
      </c>
      <c r="M30" s="185">
        <f t="shared" si="32"/>
        <v>419.07762557077626</v>
      </c>
      <c r="N30" s="185">
        <f t="shared" si="32"/>
        <v>421.93150684931504</v>
      </c>
      <c r="O30" s="185">
        <f t="shared" si="32"/>
        <v>424.78538812785388</v>
      </c>
    </row>
    <row r="31" spans="1:15" x14ac:dyDescent="0.3">
      <c r="A31" s="45"/>
      <c r="B31" s="46" t="s">
        <v>32</v>
      </c>
      <c r="C31" s="51" t="s">
        <v>54</v>
      </c>
      <c r="D31" s="23"/>
      <c r="E31" s="24"/>
      <c r="F31" s="24">
        <f t="shared" ref="F31:J31" si="33">F26/1752*1.65</f>
        <v>649.33527397260264</v>
      </c>
      <c r="G31" s="24">
        <f t="shared" si="33"/>
        <v>664.35102739726028</v>
      </c>
      <c r="H31" s="24">
        <f t="shared" si="33"/>
        <v>667.93356164383556</v>
      </c>
      <c r="I31" s="24">
        <f t="shared" si="33"/>
        <v>672.64246575342463</v>
      </c>
      <c r="J31" s="25">
        <f t="shared" si="33"/>
        <v>677.3513698630137</v>
      </c>
      <c r="K31" s="181">
        <f>K26/1752*1.65</f>
        <v>682.06027397260277</v>
      </c>
      <c r="L31" s="185">
        <f t="shared" ref="L31:O31" si="34">L26/1752*1.65</f>
        <v>686.76917808219173</v>
      </c>
      <c r="M31" s="185">
        <f t="shared" si="34"/>
        <v>691.4780821917808</v>
      </c>
      <c r="N31" s="185">
        <f t="shared" si="34"/>
        <v>696.18698630136976</v>
      </c>
      <c r="O31" s="185">
        <f t="shared" si="34"/>
        <v>700.89589041095883</v>
      </c>
    </row>
    <row r="32" spans="1:15" x14ac:dyDescent="0.3">
      <c r="A32" s="45"/>
      <c r="B32" s="46" t="s">
        <v>33</v>
      </c>
      <c r="C32" s="51" t="s">
        <v>55</v>
      </c>
      <c r="D32" s="23"/>
      <c r="E32" s="24"/>
      <c r="F32" s="24">
        <f t="shared" ref="F32:H32" si="35">F28/162.5</f>
        <v>353.50256410256407</v>
      </c>
      <c r="G32" s="24">
        <f t="shared" si="35"/>
        <v>361.67897435897436</v>
      </c>
      <c r="H32" s="24">
        <f t="shared" si="35"/>
        <v>363.62974358974361</v>
      </c>
      <c r="I32" s="24">
        <f>I28/162.5</f>
        <v>366.19384615384615</v>
      </c>
      <c r="J32" s="25">
        <f>J28/162.5</f>
        <v>368.75794871794869</v>
      </c>
      <c r="K32" s="181">
        <f>K28/162.5</f>
        <v>371.32205128205129</v>
      </c>
      <c r="L32" s="185">
        <f t="shared" ref="L32:O32" si="36">L28/162.5</f>
        <v>373.88615384615383</v>
      </c>
      <c r="M32" s="185">
        <f t="shared" si="36"/>
        <v>376.45025641025637</v>
      </c>
      <c r="N32" s="185">
        <f t="shared" si="36"/>
        <v>379.01435897435897</v>
      </c>
      <c r="O32" s="185">
        <f t="shared" si="36"/>
        <v>381.57846153846151</v>
      </c>
    </row>
    <row r="33" spans="1:15" x14ac:dyDescent="0.3">
      <c r="A33" s="45"/>
      <c r="B33" s="46" t="s">
        <v>34</v>
      </c>
      <c r="C33" s="51" t="s">
        <v>56</v>
      </c>
      <c r="D33" s="23"/>
      <c r="E33" s="24"/>
      <c r="F33" s="24">
        <f t="shared" ref="F33:H33" si="37">F32*1.5</f>
        <v>530.2538461538461</v>
      </c>
      <c r="G33" s="24">
        <f t="shared" si="37"/>
        <v>542.51846153846157</v>
      </c>
      <c r="H33" s="24">
        <f t="shared" si="37"/>
        <v>545.44461538461542</v>
      </c>
      <c r="I33" s="24">
        <f>I32*1.5</f>
        <v>549.29076923076923</v>
      </c>
      <c r="J33" s="25">
        <f>J32*1.5</f>
        <v>553.13692307692304</v>
      </c>
      <c r="K33" s="181">
        <f>K32*1.5</f>
        <v>556.98307692307696</v>
      </c>
      <c r="L33" s="185">
        <f t="shared" ref="L33:O33" si="38">L32*1.5</f>
        <v>560.82923076923078</v>
      </c>
      <c r="M33" s="185">
        <f t="shared" si="38"/>
        <v>564.67538461538459</v>
      </c>
      <c r="N33" s="185">
        <f t="shared" si="38"/>
        <v>568.52153846153851</v>
      </c>
      <c r="O33" s="185">
        <f t="shared" si="38"/>
        <v>572.36769230769232</v>
      </c>
    </row>
    <row r="34" spans="1:15" ht="15" thickBot="1" x14ac:dyDescent="0.35">
      <c r="A34" s="70"/>
      <c r="B34" s="71" t="s">
        <v>35</v>
      </c>
      <c r="C34" s="57" t="s">
        <v>57</v>
      </c>
      <c r="D34" s="117"/>
      <c r="E34" s="27"/>
      <c r="F34" s="27">
        <f t="shared" ref="F34:H34" si="39">F32*2</f>
        <v>707.00512820512813</v>
      </c>
      <c r="G34" s="27">
        <f t="shared" si="39"/>
        <v>723.35794871794872</v>
      </c>
      <c r="H34" s="27">
        <f t="shared" si="39"/>
        <v>727.25948717948722</v>
      </c>
      <c r="I34" s="27">
        <f>I32*2</f>
        <v>732.3876923076923</v>
      </c>
      <c r="J34" s="28">
        <f>J32*2</f>
        <v>737.51589743589739</v>
      </c>
      <c r="K34" s="183">
        <f>K32*2</f>
        <v>742.64410256410258</v>
      </c>
      <c r="L34" s="188">
        <f t="shared" ref="L34:O34" si="40">L32*2</f>
        <v>747.77230769230766</v>
      </c>
      <c r="M34" s="188">
        <f t="shared" si="40"/>
        <v>752.90051282051274</v>
      </c>
      <c r="N34" s="188">
        <f t="shared" si="40"/>
        <v>758.02871794871794</v>
      </c>
      <c r="O34" s="188">
        <f t="shared" si="40"/>
        <v>763.15692307692302</v>
      </c>
    </row>
    <row r="35" spans="1:15" ht="18.600000000000001" x14ac:dyDescent="0.45">
      <c r="A35" s="69" t="s">
        <v>36</v>
      </c>
      <c r="B35" s="43" t="s">
        <v>37</v>
      </c>
      <c r="C35" s="44" t="s">
        <v>7</v>
      </c>
      <c r="D35" s="150"/>
      <c r="E35" s="150"/>
      <c r="F35" s="150"/>
      <c r="G35" s="150">
        <f>470102.10975+10000+5733+(485835*4.5%)+10000+5340+12000+12000+5160+3100+9100+7166+4500+19700+1400+11646+19500</f>
        <v>628309.68475000001</v>
      </c>
      <c r="H35" s="151">
        <f>584551+19700+1400+11646+19500</f>
        <v>636797</v>
      </c>
      <c r="I35" s="150">
        <f>589551+19700+1400+11646+19500</f>
        <v>641797</v>
      </c>
      <c r="J35" s="152">
        <f>594551+19700+1400+11646+19500</f>
        <v>646797</v>
      </c>
      <c r="K35" s="192">
        <f>599551+19700+1400+11646+19500</f>
        <v>651797</v>
      </c>
      <c r="L35" s="187">
        <f>604551+19700+1400+11646+19500</f>
        <v>656797</v>
      </c>
      <c r="M35" s="187">
        <f>609551+19700+1400+11646+19500</f>
        <v>661797</v>
      </c>
      <c r="N35" s="187"/>
      <c r="O35" s="187"/>
    </row>
    <row r="36" spans="1:15" x14ac:dyDescent="0.3">
      <c r="A36" s="45"/>
      <c r="B36" s="46" t="s">
        <v>38</v>
      </c>
      <c r="C36" s="47" t="s">
        <v>50</v>
      </c>
      <c r="D36" s="18"/>
      <c r="E36" s="18"/>
      <c r="F36" s="18"/>
      <c r="G36" s="89">
        <v>1</v>
      </c>
      <c r="H36" s="89">
        <v>1</v>
      </c>
      <c r="I36" s="89">
        <v>1</v>
      </c>
      <c r="J36" s="104">
        <v>1</v>
      </c>
      <c r="K36" s="179">
        <v>1</v>
      </c>
      <c r="L36" s="184">
        <v>1</v>
      </c>
      <c r="M36" s="184">
        <v>1</v>
      </c>
      <c r="N36" s="184"/>
      <c r="O36" s="184"/>
    </row>
    <row r="37" spans="1:15" x14ac:dyDescent="0.3">
      <c r="A37" s="45"/>
      <c r="B37" s="46"/>
      <c r="C37" s="47" t="s">
        <v>51</v>
      </c>
      <c r="D37" s="18"/>
      <c r="E37" s="19"/>
      <c r="F37" s="19"/>
      <c r="G37" s="19">
        <f t="shared" ref="G37:M37" si="41">((G35)-(G36*146))/12</f>
        <v>52346.973729166668</v>
      </c>
      <c r="H37" s="19">
        <f t="shared" si="41"/>
        <v>53054.25</v>
      </c>
      <c r="I37" s="19">
        <f t="shared" si="41"/>
        <v>53470.916666666664</v>
      </c>
      <c r="J37" s="20">
        <f t="shared" si="41"/>
        <v>53887.583333333336</v>
      </c>
      <c r="K37" s="194">
        <f t="shared" si="41"/>
        <v>54304.25</v>
      </c>
      <c r="L37" s="186">
        <f t="shared" si="41"/>
        <v>54720.916666666664</v>
      </c>
      <c r="M37" s="186">
        <f t="shared" si="41"/>
        <v>55137.583333333336</v>
      </c>
      <c r="N37" s="177"/>
      <c r="O37" s="177"/>
    </row>
    <row r="38" spans="1:15" x14ac:dyDescent="0.3">
      <c r="A38" s="45"/>
      <c r="B38" s="46"/>
      <c r="C38" s="47" t="s">
        <v>52</v>
      </c>
      <c r="D38" s="18"/>
      <c r="E38" s="19"/>
      <c r="F38" s="19"/>
      <c r="G38" s="19">
        <f t="shared" ref="G38:H38" si="42">G37*47.08/52.14</f>
        <v>47266.887671061879</v>
      </c>
      <c r="H38" s="19">
        <f t="shared" si="42"/>
        <v>47905.525316455693</v>
      </c>
      <c r="I38" s="19">
        <f>I37*47.08/52.14</f>
        <v>48281.755977496476</v>
      </c>
      <c r="J38" s="20">
        <f>J37*47.08/52.14</f>
        <v>48657.986638537273</v>
      </c>
      <c r="K38" s="194">
        <f t="shared" ref="K38:M38" si="43">K37*47.08/52.14</f>
        <v>49034.217299578057</v>
      </c>
      <c r="L38" s="186">
        <f t="shared" si="43"/>
        <v>49410.44796061884</v>
      </c>
      <c r="M38" s="186">
        <f t="shared" si="43"/>
        <v>49786.678621659637</v>
      </c>
      <c r="N38" s="177"/>
      <c r="O38" s="177"/>
    </row>
    <row r="39" spans="1:15" x14ac:dyDescent="0.3">
      <c r="A39" s="45"/>
      <c r="B39" s="46"/>
      <c r="C39" s="51" t="s">
        <v>53</v>
      </c>
      <c r="D39" s="23"/>
      <c r="E39" s="24"/>
      <c r="F39" s="24"/>
      <c r="G39" s="24">
        <f t="shared" ref="G39:M39" si="44">G35/1752</f>
        <v>358.62424928652968</v>
      </c>
      <c r="H39" s="24">
        <f t="shared" si="44"/>
        <v>363.46860730593608</v>
      </c>
      <c r="I39" s="24">
        <f t="shared" si="44"/>
        <v>366.32248858447491</v>
      </c>
      <c r="J39" s="25">
        <f t="shared" si="44"/>
        <v>369.17636986301369</v>
      </c>
      <c r="K39" s="193">
        <f t="shared" si="44"/>
        <v>372.03025114155253</v>
      </c>
      <c r="L39" s="185">
        <f t="shared" si="44"/>
        <v>374.8841324200913</v>
      </c>
      <c r="M39" s="185">
        <f t="shared" si="44"/>
        <v>377.73801369863014</v>
      </c>
      <c r="N39" s="177"/>
      <c r="O39" s="177"/>
    </row>
    <row r="40" spans="1:15" x14ac:dyDescent="0.3">
      <c r="A40" s="45"/>
      <c r="B40" s="46"/>
      <c r="C40" s="51" t="s">
        <v>54</v>
      </c>
      <c r="D40" s="23"/>
      <c r="E40" s="24"/>
      <c r="F40" s="24"/>
      <c r="G40" s="24">
        <f t="shared" ref="G40:M40" si="45">G35/1752*1.65</f>
        <v>591.73001132277398</v>
      </c>
      <c r="H40" s="24">
        <f t="shared" si="45"/>
        <v>599.72320205479446</v>
      </c>
      <c r="I40" s="24">
        <f t="shared" si="45"/>
        <v>604.43210616438353</v>
      </c>
      <c r="J40" s="25">
        <f t="shared" si="45"/>
        <v>609.1410102739726</v>
      </c>
      <c r="K40" s="193">
        <f t="shared" si="45"/>
        <v>613.84991438356167</v>
      </c>
      <c r="L40" s="185">
        <f t="shared" si="45"/>
        <v>618.55881849315062</v>
      </c>
      <c r="M40" s="185">
        <f t="shared" si="45"/>
        <v>623.2677226027397</v>
      </c>
      <c r="N40" s="177"/>
      <c r="O40" s="177"/>
    </row>
    <row r="41" spans="1:15" x14ac:dyDescent="0.3">
      <c r="A41" s="45"/>
      <c r="B41" s="46"/>
      <c r="C41" s="51" t="s">
        <v>55</v>
      </c>
      <c r="D41" s="23"/>
      <c r="E41" s="24"/>
      <c r="F41" s="24"/>
      <c r="G41" s="24">
        <f t="shared" ref="G41:H41" si="46">G37/162.5</f>
        <v>322.13522294871797</v>
      </c>
      <c r="H41" s="24">
        <f t="shared" si="46"/>
        <v>326.48769230769233</v>
      </c>
      <c r="I41" s="24">
        <f>I37/162.5</f>
        <v>329.05179487179487</v>
      </c>
      <c r="J41" s="25">
        <f>J37/162.5</f>
        <v>331.61589743589747</v>
      </c>
      <c r="K41" s="193">
        <f t="shared" ref="K41:M41" si="47">K37/162.5</f>
        <v>334.18</v>
      </c>
      <c r="L41" s="185">
        <f t="shared" si="47"/>
        <v>336.74410256410255</v>
      </c>
      <c r="M41" s="185">
        <f t="shared" si="47"/>
        <v>339.30820512820515</v>
      </c>
      <c r="N41" s="177"/>
      <c r="O41" s="177"/>
    </row>
    <row r="42" spans="1:15" x14ac:dyDescent="0.3">
      <c r="A42" s="45"/>
      <c r="B42" s="46"/>
      <c r="C42" s="51" t="s">
        <v>56</v>
      </c>
      <c r="D42" s="23"/>
      <c r="E42" s="24"/>
      <c r="F42" s="24"/>
      <c r="G42" s="24">
        <f t="shared" ref="G42:H42" si="48">G41*1.5</f>
        <v>483.20283442307698</v>
      </c>
      <c r="H42" s="24">
        <f t="shared" si="48"/>
        <v>489.73153846153849</v>
      </c>
      <c r="I42" s="24">
        <f>I41*1.5</f>
        <v>493.5776923076923</v>
      </c>
      <c r="J42" s="25">
        <f>J41*1.5</f>
        <v>497.42384615384617</v>
      </c>
      <c r="K42" s="193">
        <f t="shared" ref="K42:M42" si="49">K41*1.5</f>
        <v>501.27</v>
      </c>
      <c r="L42" s="185">
        <f t="shared" si="49"/>
        <v>505.11615384615379</v>
      </c>
      <c r="M42" s="185">
        <f t="shared" si="49"/>
        <v>508.96230769230772</v>
      </c>
      <c r="N42" s="177"/>
      <c r="O42" s="177"/>
    </row>
    <row r="43" spans="1:15" ht="15" thickBot="1" x14ac:dyDescent="0.35">
      <c r="A43" s="70"/>
      <c r="B43" s="72"/>
      <c r="C43" s="57" t="s">
        <v>57</v>
      </c>
      <c r="D43" s="117"/>
      <c r="E43" s="27"/>
      <c r="F43" s="27"/>
      <c r="G43" s="27">
        <f t="shared" ref="G43:H43" si="50">G41*2</f>
        <v>644.27044589743593</v>
      </c>
      <c r="H43" s="27">
        <f t="shared" si="50"/>
        <v>652.97538461538466</v>
      </c>
      <c r="I43" s="27">
        <f>I41*2</f>
        <v>658.10358974358974</v>
      </c>
      <c r="J43" s="28">
        <f>J41*2</f>
        <v>663.23179487179493</v>
      </c>
      <c r="K43" s="195">
        <f t="shared" ref="K43:M43" si="51">K41*2</f>
        <v>668.36</v>
      </c>
      <c r="L43" s="188">
        <f t="shared" si="51"/>
        <v>673.4882051282051</v>
      </c>
      <c r="M43" s="188">
        <f t="shared" si="51"/>
        <v>678.61641025641029</v>
      </c>
      <c r="N43" s="178"/>
      <c r="O43" s="178"/>
    </row>
    <row r="44" spans="1:15" x14ac:dyDescent="0.3">
      <c r="A44" s="10" t="s">
        <v>39</v>
      </c>
      <c r="B44" s="10"/>
      <c r="C44" s="10"/>
      <c r="D44" s="10"/>
      <c r="E44" s="10"/>
      <c r="F44" s="10"/>
      <c r="G44" s="10"/>
      <c r="H44" s="31"/>
      <c r="I44" s="31"/>
      <c r="J44" s="31"/>
      <c r="K44" s="31"/>
      <c r="L44" s="31"/>
    </row>
    <row r="45" spans="1:15" ht="16.5" customHeight="1" x14ac:dyDescent="0.3">
      <c r="A45" s="32" t="s">
        <v>40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5" ht="9.75" customHeight="1" x14ac:dyDescent="0.3">
      <c r="I46" s="11"/>
      <c r="J46" s="11"/>
      <c r="K46" s="11"/>
      <c r="L46" s="11"/>
      <c r="M46" s="10"/>
      <c r="N46" s="10"/>
    </row>
    <row r="47" spans="1:15" ht="15" thickBot="1" x14ac:dyDescent="0.35">
      <c r="A47" s="73" t="s">
        <v>98</v>
      </c>
      <c r="B47" s="74"/>
      <c r="C47" s="74"/>
      <c r="D47" s="75"/>
      <c r="E47" s="75"/>
      <c r="F47" s="75"/>
      <c r="G47" s="76"/>
      <c r="H47" s="76"/>
      <c r="N47" s="10"/>
    </row>
    <row r="48" spans="1:15" ht="15" thickBot="1" x14ac:dyDescent="0.35">
      <c r="A48" s="77" t="s">
        <v>42</v>
      </c>
      <c r="B48" s="79"/>
      <c r="C48" s="77" t="s">
        <v>44</v>
      </c>
      <c r="D48" s="79"/>
      <c r="E48" s="77" t="s">
        <v>46</v>
      </c>
      <c r="F48" s="79"/>
      <c r="G48" s="77" t="s">
        <v>47</v>
      </c>
      <c r="H48" s="118"/>
      <c r="I48" s="39" t="s">
        <v>64</v>
      </c>
      <c r="J48" s="119"/>
      <c r="N48" s="10"/>
    </row>
    <row r="49" spans="1:10" ht="15" thickBot="1" x14ac:dyDescent="0.35">
      <c r="A49" s="77" t="s">
        <v>43</v>
      </c>
      <c r="B49" s="79"/>
      <c r="C49" s="77" t="s">
        <v>45</v>
      </c>
      <c r="D49" s="79"/>
      <c r="E49" s="80" t="s">
        <v>58</v>
      </c>
      <c r="F49" s="81"/>
      <c r="G49" s="77" t="s">
        <v>59</v>
      </c>
      <c r="H49" s="118"/>
      <c r="I49" s="39" t="s">
        <v>65</v>
      </c>
      <c r="J49" s="119"/>
    </row>
    <row r="50" spans="1:10" ht="17.25" customHeight="1" x14ac:dyDescent="0.3">
      <c r="A50" s="82" t="s">
        <v>60</v>
      </c>
    </row>
    <row r="54" spans="1:10" x14ac:dyDescent="0.3">
      <c r="A54" t="s">
        <v>93</v>
      </c>
    </row>
    <row r="57" spans="1:10" x14ac:dyDescent="0.3">
      <c r="A57" s="82" t="s">
        <v>94</v>
      </c>
      <c r="B57" s="82"/>
      <c r="C57" s="82"/>
    </row>
    <row r="58" spans="1:10" x14ac:dyDescent="0.3">
      <c r="A58" t="s">
        <v>95</v>
      </c>
    </row>
    <row r="59" spans="1:10" x14ac:dyDescent="0.3">
      <c r="A59" t="s">
        <v>96</v>
      </c>
    </row>
    <row r="61" spans="1:10" x14ac:dyDescent="0.3">
      <c r="A61" t="s">
        <v>97</v>
      </c>
    </row>
  </sheetData>
  <mergeCells count="1">
    <mergeCell ref="G4:N4"/>
  </mergeCells>
  <pageMargins left="0.51181102362204722" right="0.31496062992125984" top="0.55118110236220474" bottom="0.35433070866141736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Lønnstabell 01.06.2021</vt:lpstr>
      <vt:lpstr>Tabell med 47% sokkelkomp.</vt:lpstr>
      <vt:lpstr>Tab. med fast avt. sokkelkomp.</vt:lpstr>
    </vt:vector>
  </TitlesOfParts>
  <Company>Industri Energi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 Johansen</dc:creator>
  <cp:lastModifiedBy>Einar Johannessen</cp:lastModifiedBy>
  <cp:lastPrinted>2021-05-28T09:21:59Z</cp:lastPrinted>
  <dcterms:created xsi:type="dcterms:W3CDTF">2013-06-20T18:37:39Z</dcterms:created>
  <dcterms:modified xsi:type="dcterms:W3CDTF">2021-06-10T06:37:02Z</dcterms:modified>
</cp:coreProperties>
</file>